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\\srvfile2101\3P\Server\Documents\Contracts\2023\301\"/>
    </mc:Choice>
  </mc:AlternateContent>
  <xr:revisionPtr revIDLastSave="0" documentId="13_ncr:1_{04A89D35-1A50-4DAB-B410-977D68489059}" xr6:coauthVersionLast="47" xr6:coauthVersionMax="47" xr10:uidLastSave="{00000000-0000-0000-0000-000000000000}"/>
  <bookViews>
    <workbookView xWindow="29610" yWindow="-15" windowWidth="28110" windowHeight="16440" activeTab="1" xr2:uid="{00000000-000D-0000-FFFF-FFFF00000000}"/>
  </bookViews>
  <sheets>
    <sheet name="Detail" sheetId="2" r:id="rId1"/>
    <sheet name="Samenvatting" sheetId="6" r:id="rId2"/>
  </sheets>
  <externalReferences>
    <externalReference r:id="rId3"/>
  </externalReferences>
  <definedNames>
    <definedName name="_xlnm.Print_Area" localSheetId="1">Samenvatting!$A$1:$AA$35</definedName>
    <definedName name="_xlnm.Print_Titles" localSheetId="1">Samenvatting!$1:$1</definedName>
    <definedName name="Art_00.">Detail!$A$10:$I$10</definedName>
    <definedName name="Art_00.10.">Detail!$A$13:$I$13</definedName>
    <definedName name="Art_00.20.">Detail!$A$16:$I$16</definedName>
    <definedName name="Art_00.21.">Detail!$A$19:$I$19</definedName>
    <definedName name="Art_00.23.">Detail!$A$22:$I$22</definedName>
    <definedName name="Art_00.24.">Detail!$A$25:$I$25</definedName>
    <definedName name="Art_01.">Detail!$A$28:$I$28</definedName>
    <definedName name="Art_01.00.">Detail!$A$31:$I$31</definedName>
    <definedName name="Art_01.01.">Detail!$A$34:$I$35</definedName>
    <definedName name="Art_01.02.">Detail!$A$38:$I$39</definedName>
    <definedName name="Art_01.03.">Detail!$A$42:$I$43</definedName>
    <definedName name="Art_01.04.">Detail!$A$46:$I$47</definedName>
    <definedName name="Art_01.05.">Detail!$A$50:$I$51</definedName>
    <definedName name="Art_01.06.">Detail!$A$54:$I$55</definedName>
    <definedName name="Art_01.08.">Detail!$A$58:$I$59</definedName>
    <definedName name="Art_01.20.">Detail!$A$62:$I$62</definedName>
    <definedName name="Art_01.21.">Detail!$A$65:$I$66</definedName>
    <definedName name="Art_01.22.">Detail!$A$69:$I$70</definedName>
    <definedName name="Art_01.23.">Detail!$A$73:$I$74</definedName>
    <definedName name="Art_01.25.">Detail!$A$77:$I$78</definedName>
    <definedName name="Art_01.30.">Detail!$A$81:$I$81</definedName>
    <definedName name="Art_01.31.">Detail!$A$84:$I$85</definedName>
    <definedName name="Art_01.32.">Detail!$A$88:$I$89</definedName>
    <definedName name="Art_01.33.">Detail!$A$92:$I$93</definedName>
    <definedName name="Art_01.40.">Detail!$A$96:$I$97</definedName>
    <definedName name="Art_02.">Detail!$A$100:$I$100</definedName>
    <definedName name="Art_02.00.">Detail!$A$103:$I$103</definedName>
    <definedName name="Art_02.10.">Detail!$A$106:$I$106</definedName>
    <definedName name="Art_02.11.">Detail!$A$109:$I$110</definedName>
    <definedName name="Art_02.80.">Detail!$A$113:$I$113</definedName>
    <definedName name="Art_02.81.">Detail!$A$116:$I$116</definedName>
    <definedName name="Art_02.81.10.">Detail!$A$119:$I$120</definedName>
    <definedName name="Art_02.82.">Detail!$A$123:$I$124</definedName>
    <definedName name="Art_03.">Detail!$A$127:$I$127</definedName>
    <definedName name="Art_03.00.">Detail!$A$130:$I$130</definedName>
    <definedName name="Art_03.30.">Detail!$A$133:$I$133</definedName>
    <definedName name="Art_03.31.">Detail!$A$136:$I$136</definedName>
    <definedName name="Art_03.31.20.">Detail!$A$139:$I$147</definedName>
    <definedName name="Art_04.">Detail!$A$150:$I$150</definedName>
    <definedName name="Art_04.00.">Detail!$A$153:$I$153</definedName>
    <definedName name="Art_04.20.">Detail!$A$156:$I$157</definedName>
    <definedName name="Art_04.30.">Detail!$A$160:$I$161</definedName>
    <definedName name="Art_04.40.">Detail!$A$164:$I$165</definedName>
    <definedName name="Art_30.">Detail!$A$168:$I$168</definedName>
    <definedName name="Art_30.00.">Detail!$A$171:$I$171</definedName>
    <definedName name="Art_30.01.">Detail!$A$174:$I$175</definedName>
    <definedName name="Art_30.10.">Detail!$A$178:$I$179</definedName>
    <definedName name="Art_30.12.">Detail!$A$182:$I$182</definedName>
    <definedName name="Art_30.12.10.">Detail!$A$185:$I$193</definedName>
    <definedName name="Art_30.13.">Detail!$A$196:$I$204</definedName>
    <definedName name="Art_30.14.">Detail!$A$207:$I$215</definedName>
    <definedName name="Art_30.20.">Detail!$A$218:$I$218</definedName>
    <definedName name="Art_30.21.">Detail!$A$221:$I$229</definedName>
    <definedName name="Art_30.30.">Detail!$A$232:$I$233</definedName>
    <definedName name="Art_31.">Detail!$A$236:$I$236</definedName>
    <definedName name="Art_31.00.">Detail!$A$239:$I$239</definedName>
    <definedName name="Art_31.10.">Detail!$A$242:$I$242</definedName>
    <definedName name="Art_31.11.">Detail!$A$245:$I$245</definedName>
    <definedName name="Art_31.11.10.">Detail!$A$248:$I$256</definedName>
    <definedName name="Art_31.11.20.">Detail!$A$259:$I$267</definedName>
    <definedName name="Art_31.40.">Detail!$A$270:$I$270</definedName>
    <definedName name="Art_31.42.">Detail!$A$273:$I$281</definedName>
    <definedName name="Art_32.">Detail!$A$284:$I$284</definedName>
    <definedName name="Art_32.00.">Detail!$A$287:$I$287</definedName>
    <definedName name="Art_32.01.">Detail!$A$290:$I$290</definedName>
    <definedName name="Art_32.10.">Detail!$A$293:$I$293</definedName>
    <definedName name="Art_32.11.">Detail!$A$296:$I$296</definedName>
    <definedName name="Art_32.11.10.">Detail!$A$299:$I$307</definedName>
    <definedName name="Art_32.11.20.">Detail!$A$310:$I$318</definedName>
    <definedName name="Art_32.11.30.">Detail!$A$321:$I$329</definedName>
    <definedName name="Art_37.">Detail!$A$332:$I$332</definedName>
    <definedName name="Art_37.00.">Detail!$A$335:$I$335</definedName>
    <definedName name="Art_37.10.">Detail!$A$338:$I$338</definedName>
    <definedName name="Art_37.11.">Detail!$A$341:$I$341</definedName>
    <definedName name="Art_37.11.10.">Detail!$A$344:$I$352</definedName>
    <definedName name="Art_38.">Detail!$A$355:$I$355</definedName>
    <definedName name="Art_38.00.">Detail!$A$358:$I$358</definedName>
    <definedName name="Art_38.20.">Detail!$A$361:$I$361</definedName>
    <definedName name="Art_38.22.">Detail!$A$364:$I$364</definedName>
    <definedName name="Art_38.22.10.">Detail!$A$367:$I$375</definedName>
    <definedName name="Art_38.30.">Detail!$A$378:$I$378</definedName>
    <definedName name="Art_38.32.">Detail!$A$381:$I$381</definedName>
    <definedName name="Art_38.32.10.">Detail!$A$384:$I$392</definedName>
    <definedName name="Art_38.40.">Detail!$A$395:$I$395</definedName>
    <definedName name="Art_38.42.">Detail!$A$398:$I$406</definedName>
    <definedName name="Art_38.50.">Detail!$A$409:$I$409</definedName>
    <definedName name="Art_38.52.">Detail!$A$412:$I$420</definedName>
    <definedName name="Art_42.">Detail!$A$423:$I$423</definedName>
    <definedName name="Art_42.00.">Detail!$A$426:$I$426</definedName>
    <definedName name="Art_42.10.">Detail!$A$429:$I$429</definedName>
    <definedName name="Art_42.11.">Detail!$A$432:$I$433</definedName>
    <definedName name="Art_42.30.">Detail!$A$436:$I$436</definedName>
    <definedName name="Art_42.31.">Detail!$A$439:$I$447</definedName>
    <definedName name="Art_42.40.">Detail!$A$450:$I$450</definedName>
    <definedName name="Art_42.41.">Detail!$A$453:$I$461</definedName>
    <definedName name="Art_51.">Detail!$A$464:$I$464</definedName>
    <definedName name="Art_51.00.">Detail!$A$467:$I$467</definedName>
    <definedName name="Art_51.10.">Detail!$A$470:$I$470</definedName>
    <definedName name="Art_51.11.">Detail!$A$473:$I$473</definedName>
    <definedName name="Art_51.11.10">Detail!$A$476:$I$484</definedName>
    <definedName name="Art_51.11.20">Detail!$A$487:$I$495</definedName>
    <definedName name="Art_51.11.30">Detail!$A$498:$I$506</definedName>
    <definedName name="Art_51.21.">Detail!$A$509:$I$509</definedName>
    <definedName name="Art_51.21.10.">Detail!$A$512:$I$520</definedName>
    <definedName name="Art_51.50.">Detail!$A$523:$I$523</definedName>
    <definedName name="Art_51.51.">Detail!$A$526:$I$526</definedName>
    <definedName name="Art_51.51.10.">Detail!$A$529:$I$537</definedName>
    <definedName name="Art_51.60.">Detail!$A$540:$I$540</definedName>
    <definedName name="Art_51.70.">Detail!$A$543:$I$543</definedName>
    <definedName name="Art_51.71.">Detail!$A$546:$I$546</definedName>
    <definedName name="Art_51.71.10.">Detail!$A$549:$I$557</definedName>
    <definedName name="Art_54.">Detail!$A$560:$I$560</definedName>
    <definedName name="Art_54.00.">Detail!$A$563:$I$563</definedName>
    <definedName name="Art_54.01.">Detail!$A$566:$I$566</definedName>
    <definedName name="Art_54.02.">Detail!$A$569:$I$569</definedName>
    <definedName name="Art_54.03.">Detail!$A$572:$I$572</definedName>
    <definedName name="Art_54.10.">Detail!$A$575:$I$575</definedName>
    <definedName name="Art_54.11.">Detail!$A$578:$I$578</definedName>
    <definedName name="Art_54.11.10.">Detail!$A$581:$I$589</definedName>
    <definedName name="Art_54.20.">Detail!$A$592:$I$592</definedName>
    <definedName name="Art_54.21.">Detail!$A$595:$I$595</definedName>
    <definedName name="Art_54.21.20.">Detail!$A$598:$I$606</definedName>
    <definedName name="Art_54.21.30.">Detail!$A$609:$I$617</definedName>
    <definedName name="Art_54.21.40.">Detail!$A$620:$I$628</definedName>
    <definedName name="Art_54.30.">Detail!$A$631:$I$631</definedName>
    <definedName name="Art_54.31.">Detail!$A$634:$I$634</definedName>
    <definedName name="Art_54.31.10.">Detail!$A$637:$I$645</definedName>
    <definedName name="Art_54.60.">Detail!$A$648:$I$648</definedName>
    <definedName name="Art_54.61.">Detail!$A$651:$I$651</definedName>
    <definedName name="Art_54.61.10.">Detail!$A$654:$I$655</definedName>
    <definedName name="Art_54.62.">Detail!$A$658:$I$658</definedName>
    <definedName name="Art_54.62.20.">Detail!$A$661:$I$662</definedName>
    <definedName name="Art_54.62.40.">Detail!$A$665:$I$666</definedName>
    <definedName name="Art_54.62.50.">Detail!$A$669:$I$670</definedName>
    <definedName name="Art_54.63.">Detail!$A$673:$I$673</definedName>
    <definedName name="Art_54.63.10.">Detail!$A$676:$I$677</definedName>
    <definedName name="Art_54.65.">Detail!$A$680:$I$681</definedName>
    <definedName name="Art_54.80.">Detail!$A$684:$I$684</definedName>
    <definedName name="Art_54.86.">Detail!$A$687:$I$695</definedName>
    <definedName name="first_cell" localSheetId="1">Samenvatting!$B$10</definedName>
    <definedName name="Section" localSheetId="0">Detail!#REF!</definedName>
    <definedName name="Section" localSheetId="1">Samenvatting!#REF!</definedName>
    <definedName name="TotalLine" localSheetId="1">Samenvatting!$B$187</definedName>
    <definedName name="Z_1EA1DABB_57F0_4012_99F2_78FD6D87C9A2_.wvu.Cols" localSheetId="1" hidden="1">Samenvatting!$M:$N,Samenvatting!$P:$Q,Samenvatting!$S:$T,Samenvatting!$V:$W,Samenvatting!$Y:$Z,Samenvatting!$AB:$AC</definedName>
    <definedName name="Z_1EA1DABB_57F0_4012_99F2_78FD6D87C9A2_.wvu.PrintArea" localSheetId="1" hidden="1">Samenvatting!$A$1:$AA$35</definedName>
    <definedName name="Z_1EA1DABB_57F0_4012_99F2_78FD6D87C9A2_.wvu.PrintTitles" localSheetId="1" hidden="1">Samenvatting!$1:$1</definedName>
    <definedName name="Z_1EA1DABB_57F0_4012_99F2_78FD6D87C9A2_.wvu.Rows" localSheetId="1" hidden="1">Samenvatting!$1:$1</definedName>
    <definedName name="Z_685BC701_F7E6_48FC_BD29_D129DB944F46_.wvu.Cols" localSheetId="1" hidden="1">Samenvatting!$AB:$AC</definedName>
    <definedName name="Z_685BC701_F7E6_48FC_BD29_D129DB944F46_.wvu.PrintArea" localSheetId="1" hidden="1">Samenvatting!$A$1:$AA$35</definedName>
    <definedName name="Z_685BC701_F7E6_48FC_BD29_D129DB944F46_.wvu.PrintTitles" localSheetId="1" hidden="1">Samenvatting!$1:$1</definedName>
    <definedName name="Z_685BC701_F7E6_48FC_BD29_D129DB944F46_.wvu.Rows" localSheetId="1" hidden="1">Samenvatting!$1:$1</definedName>
    <definedName name="Z_7ACB7EB3_21E5_461F_8F50_99F8226D387A_.wvu.Cols" localSheetId="0" hidden="1">Detail!$K:$XFD</definedName>
    <definedName name="Z_7ACB7EB3_21E5_461F_8F50_99F8226D387A_.wvu.Cols" localSheetId="1" hidden="1">Samenvatting!$G:$G,Samenvatting!$K:$AC</definedName>
    <definedName name="Z_7ACB7EB3_21E5_461F_8F50_99F8226D387A_.wvu.Rows" localSheetId="0" hidden="1">Detail!$1:$1</definedName>
    <definedName name="Z_7ACB7EB3_21E5_461F_8F50_99F8226D387A_.wvu.Rows" localSheetId="1" hidden="1">Samenvatting!$1:$1</definedName>
    <definedName name="Z_C35C09A1_5BE4_4EF8_A92C_511B0418C985_.wvu.Cols" localSheetId="0" hidden="1">Detail!$K:$XFD</definedName>
    <definedName name="Z_C35C09A1_5BE4_4EF8_A92C_511B0418C985_.wvu.Cols" localSheetId="1" hidden="1">Samenvatting!$K:$AC</definedName>
    <definedName name="Z_C35C09A1_5BE4_4EF8_A92C_511B0418C985_.wvu.Rows" localSheetId="0" hidden="1">Detail!$1:$1</definedName>
    <definedName name="Z_C35C09A1_5BE4_4EF8_A92C_511B0418C985_.wvu.Rows" localSheetId="1" hidden="1">Samenvatting!$1:$1</definedName>
  </definedNames>
  <calcPr calcId="191029"/>
  <customWorkbookViews>
    <customWorkbookView name="Extended" guid="{C35C09A1-5BE4-4EF8-A92C-511B0418C985}" includePrintSettings="0" maximized="1" xWindow="-8" yWindow="-8" windowWidth="1936" windowHeight="1056" activeSheetId="2"/>
    <customWorkbookView name="Simple" guid="{7ACB7EB3-21E5-461F-8F50-99F8226D387A}" includePrintSettings="0" maximized="1" xWindow="-8" yWindow="-8" windowWidth="1936" windowHeight="105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0" i="6" l="1"/>
  <c r="AC11" i="6"/>
  <c r="AC12" i="6"/>
  <c r="AC13" i="6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47" i="6"/>
  <c r="AC48" i="6"/>
  <c r="AC49" i="6"/>
  <c r="AC50" i="6"/>
  <c r="AC51" i="6"/>
  <c r="AC52" i="6"/>
  <c r="AC53" i="6"/>
  <c r="AC54" i="6"/>
  <c r="AC55" i="6"/>
  <c r="AC56" i="6"/>
  <c r="AC57" i="6"/>
  <c r="AC58" i="6"/>
  <c r="AC59" i="6"/>
  <c r="AC60" i="6"/>
  <c r="AC61" i="6"/>
  <c r="AC62" i="6"/>
  <c r="AC63" i="6"/>
  <c r="AC64" i="6"/>
  <c r="AC65" i="6"/>
  <c r="AC66" i="6"/>
  <c r="AC67" i="6"/>
  <c r="AC68" i="6"/>
  <c r="AC69" i="6"/>
  <c r="AC70" i="6"/>
  <c r="AC71" i="6"/>
  <c r="AC72" i="6"/>
  <c r="AC73" i="6"/>
  <c r="AC74" i="6"/>
  <c r="AC75" i="6"/>
  <c r="AC76" i="6"/>
  <c r="AC77" i="6"/>
  <c r="AC78" i="6"/>
  <c r="AC79" i="6"/>
  <c r="AC80" i="6"/>
  <c r="AC81" i="6"/>
  <c r="AC82" i="6"/>
  <c r="AC83" i="6"/>
  <c r="AC84" i="6"/>
  <c r="AC85" i="6"/>
  <c r="AC86" i="6"/>
  <c r="AC87" i="6"/>
  <c r="AC88" i="6"/>
  <c r="AC89" i="6"/>
  <c r="AC90" i="6"/>
  <c r="AC91" i="6"/>
  <c r="AC92" i="6"/>
  <c r="AC93" i="6"/>
  <c r="AC94" i="6"/>
  <c r="AC95" i="6"/>
  <c r="AC96" i="6"/>
  <c r="AC97" i="6"/>
  <c r="AC98" i="6"/>
  <c r="AC99" i="6"/>
  <c r="AC100" i="6"/>
  <c r="AC101" i="6"/>
  <c r="AC102" i="6"/>
  <c r="AC103" i="6"/>
  <c r="AC104" i="6"/>
  <c r="AC105" i="6"/>
  <c r="AC106" i="6"/>
  <c r="AC107" i="6"/>
  <c r="AC108" i="6"/>
  <c r="AC109" i="6"/>
  <c r="AC110" i="6"/>
  <c r="AC111" i="6"/>
  <c r="AC112" i="6"/>
  <c r="AC113" i="6"/>
  <c r="AC114" i="6"/>
  <c r="AC115" i="6"/>
  <c r="AC116" i="6"/>
  <c r="AC117" i="6"/>
  <c r="AC118" i="6"/>
  <c r="AC119" i="6"/>
  <c r="AC120" i="6"/>
  <c r="AC121" i="6"/>
  <c r="AC122" i="6"/>
  <c r="AC123" i="6"/>
  <c r="AC124" i="6"/>
  <c r="AC125" i="6"/>
  <c r="AC126" i="6"/>
  <c r="AC127" i="6"/>
  <c r="AC128" i="6"/>
  <c r="AC129" i="6"/>
  <c r="AC130" i="6"/>
  <c r="AC131" i="6"/>
  <c r="AC132" i="6"/>
  <c r="AC133" i="6"/>
  <c r="AC134" i="6"/>
  <c r="AC135" i="6"/>
  <c r="AC136" i="6"/>
  <c r="AC137" i="6"/>
  <c r="AC138" i="6"/>
  <c r="AC139" i="6"/>
  <c r="AC140" i="6"/>
  <c r="AC141" i="6"/>
  <c r="AC142" i="6"/>
  <c r="AC143" i="6"/>
  <c r="AC144" i="6"/>
  <c r="AC145" i="6"/>
  <c r="AC146" i="6"/>
  <c r="AC147" i="6"/>
  <c r="AC148" i="6"/>
  <c r="AC149" i="6"/>
  <c r="AC150" i="6"/>
  <c r="AC151" i="6"/>
  <c r="AC152" i="6"/>
  <c r="AC153" i="6"/>
  <c r="AC154" i="6"/>
  <c r="AC155" i="6"/>
  <c r="AC156" i="6"/>
  <c r="AC157" i="6"/>
  <c r="AC158" i="6"/>
  <c r="AC159" i="6"/>
  <c r="AC160" i="6"/>
  <c r="AC161" i="6"/>
  <c r="AC162" i="6"/>
  <c r="AC163" i="6"/>
  <c r="AC164" i="6"/>
  <c r="AC165" i="6"/>
  <c r="AC166" i="6"/>
  <c r="AC167" i="6"/>
  <c r="AC168" i="6"/>
  <c r="AC169" i="6"/>
  <c r="AC170" i="6"/>
  <c r="AC171" i="6"/>
  <c r="AC172" i="6"/>
  <c r="AC173" i="6"/>
  <c r="AC174" i="6"/>
  <c r="AC175" i="6"/>
  <c r="AC176" i="6"/>
  <c r="AC177" i="6"/>
  <c r="AC178" i="6"/>
  <c r="AC179" i="6"/>
  <c r="AC180" i="6"/>
  <c r="AC181" i="6"/>
  <c r="AC182" i="6"/>
  <c r="AC183" i="6"/>
  <c r="AC184" i="6"/>
  <c r="AC185" i="6"/>
  <c r="AC186" i="6"/>
  <c r="AA186" i="6"/>
  <c r="AA184" i="6"/>
  <c r="AA181" i="6"/>
  <c r="AA177" i="6"/>
  <c r="AA175" i="6"/>
  <c r="AA174" i="6"/>
  <c r="AA172" i="6"/>
  <c r="AA171" i="6"/>
  <c r="AA167" i="6"/>
  <c r="AA166" i="6"/>
  <c r="AA164" i="6"/>
  <c r="AA163" i="6"/>
  <c r="AA162" i="6"/>
  <c r="AA161" i="6"/>
  <c r="AA160" i="6"/>
  <c r="AA159" i="6"/>
  <c r="AA158" i="6"/>
  <c r="AA157" i="6"/>
  <c r="AA156" i="6"/>
  <c r="AA155" i="6"/>
  <c r="AA153" i="6"/>
  <c r="AA152" i="6"/>
  <c r="AA151" i="6"/>
  <c r="AA149" i="6"/>
  <c r="AA148" i="6"/>
  <c r="AA146" i="6"/>
  <c r="AA142" i="6"/>
  <c r="AA141" i="6"/>
  <c r="AA140" i="6"/>
  <c r="AA139" i="6"/>
  <c r="AA138" i="6"/>
  <c r="AA137" i="6"/>
  <c r="AA136" i="6"/>
  <c r="AA134" i="6"/>
  <c r="AA132" i="6"/>
  <c r="AA130" i="6"/>
  <c r="AA129" i="6"/>
  <c r="AA128" i="6"/>
  <c r="AA127" i="6"/>
  <c r="AA126" i="6"/>
  <c r="AA125" i="6"/>
  <c r="AA123" i="6"/>
  <c r="AA121" i="6"/>
  <c r="AA119" i="6"/>
  <c r="AA118" i="6"/>
  <c r="AA116" i="6"/>
  <c r="AA115" i="6"/>
  <c r="AA114" i="6"/>
  <c r="AA113" i="6"/>
  <c r="AA112" i="6"/>
  <c r="AA111" i="6"/>
  <c r="AA110" i="6"/>
  <c r="AA108" i="6"/>
  <c r="AA107" i="6"/>
  <c r="AA106" i="6"/>
  <c r="AA105" i="6"/>
  <c r="AA104" i="6"/>
  <c r="AA103" i="6"/>
  <c r="AA102" i="6"/>
  <c r="AA97" i="6"/>
  <c r="AA96" i="6"/>
  <c r="AA95" i="6"/>
  <c r="AA94" i="6"/>
  <c r="AA93" i="6"/>
  <c r="AA92" i="6"/>
  <c r="AA91" i="6"/>
  <c r="AA89" i="6"/>
  <c r="AA86" i="6"/>
  <c r="AA85" i="6"/>
  <c r="AA84" i="6"/>
  <c r="AA83" i="6"/>
  <c r="AA82" i="6"/>
  <c r="AA81" i="6"/>
  <c r="AA80" i="6"/>
  <c r="AA77" i="6"/>
  <c r="AA73" i="6"/>
  <c r="AA70" i="6"/>
  <c r="AA69" i="6"/>
  <c r="AA68" i="6"/>
  <c r="AA67" i="6"/>
  <c r="AA66" i="6"/>
  <c r="AA62" i="6"/>
  <c r="AA61" i="6"/>
  <c r="AA60" i="6"/>
  <c r="AA59" i="6"/>
  <c r="AA58" i="6"/>
  <c r="AA56" i="6"/>
  <c r="AA55" i="6"/>
  <c r="AA54" i="6"/>
  <c r="AA53" i="6"/>
  <c r="AA52" i="6"/>
  <c r="AA51" i="6"/>
  <c r="AA50" i="6"/>
  <c r="AA47" i="6"/>
  <c r="AA46" i="6"/>
  <c r="AA44" i="6"/>
  <c r="AA43" i="6"/>
  <c r="AA42" i="6"/>
  <c r="AA41" i="6"/>
  <c r="AA40" i="6"/>
  <c r="AA39" i="6"/>
  <c r="AA34" i="6"/>
  <c r="AA29" i="6"/>
  <c r="AA21" i="6"/>
  <c r="AA20" i="6"/>
  <c r="AA19" i="6"/>
  <c r="AA18" i="6"/>
  <c r="AA17" i="6"/>
  <c r="AA16" i="6"/>
  <c r="AA15" i="6"/>
  <c r="AA14" i="6"/>
  <c r="AA13" i="6"/>
  <c r="AA12" i="6"/>
  <c r="AA11" i="6"/>
  <c r="AA10" i="6"/>
  <c r="W10" i="6"/>
  <c r="W11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29" i="6"/>
  <c r="W30" i="6"/>
  <c r="W31" i="6"/>
  <c r="W32" i="6"/>
  <c r="W33" i="6"/>
  <c r="W34" i="6"/>
  <c r="W35" i="6"/>
  <c r="W36" i="6"/>
  <c r="W37" i="6"/>
  <c r="W38" i="6"/>
  <c r="W39" i="6"/>
  <c r="W40" i="6"/>
  <c r="W41" i="6"/>
  <c r="W42" i="6"/>
  <c r="W43" i="6"/>
  <c r="W44" i="6"/>
  <c r="W45" i="6"/>
  <c r="W46" i="6"/>
  <c r="W47" i="6"/>
  <c r="W48" i="6"/>
  <c r="W49" i="6"/>
  <c r="W50" i="6"/>
  <c r="W51" i="6"/>
  <c r="W52" i="6"/>
  <c r="W53" i="6"/>
  <c r="W54" i="6"/>
  <c r="W55" i="6"/>
  <c r="W56" i="6"/>
  <c r="W57" i="6"/>
  <c r="W58" i="6"/>
  <c r="W59" i="6"/>
  <c r="W60" i="6"/>
  <c r="W61" i="6"/>
  <c r="W62" i="6"/>
  <c r="W63" i="6"/>
  <c r="W64" i="6"/>
  <c r="W65" i="6"/>
  <c r="W66" i="6"/>
  <c r="W67" i="6"/>
  <c r="W68" i="6"/>
  <c r="W69" i="6"/>
  <c r="W70" i="6"/>
  <c r="W71" i="6"/>
  <c r="W72" i="6"/>
  <c r="W73" i="6"/>
  <c r="W74" i="6"/>
  <c r="W75" i="6"/>
  <c r="W76" i="6"/>
  <c r="W77" i="6"/>
  <c r="W78" i="6"/>
  <c r="W79" i="6"/>
  <c r="W80" i="6"/>
  <c r="W81" i="6"/>
  <c r="W82" i="6"/>
  <c r="W83" i="6"/>
  <c r="W84" i="6"/>
  <c r="W85" i="6"/>
  <c r="W86" i="6"/>
  <c r="W87" i="6"/>
  <c r="W88" i="6"/>
  <c r="W89" i="6"/>
  <c r="W90" i="6"/>
  <c r="W91" i="6"/>
  <c r="W92" i="6"/>
  <c r="W93" i="6"/>
  <c r="W94" i="6"/>
  <c r="W95" i="6"/>
  <c r="W96" i="6"/>
  <c r="W97" i="6"/>
  <c r="W98" i="6"/>
  <c r="W99" i="6"/>
  <c r="W100" i="6"/>
  <c r="W101" i="6"/>
  <c r="W102" i="6"/>
  <c r="W103" i="6"/>
  <c r="W104" i="6"/>
  <c r="W105" i="6"/>
  <c r="W106" i="6"/>
  <c r="W107" i="6"/>
  <c r="W108" i="6"/>
  <c r="W109" i="6"/>
  <c r="W110" i="6"/>
  <c r="W111" i="6"/>
  <c r="W112" i="6"/>
  <c r="W113" i="6"/>
  <c r="W114" i="6"/>
  <c r="W115" i="6"/>
  <c r="W116" i="6"/>
  <c r="W117" i="6"/>
  <c r="W118" i="6"/>
  <c r="W119" i="6"/>
  <c r="W120" i="6"/>
  <c r="W121" i="6"/>
  <c r="W122" i="6"/>
  <c r="W123" i="6"/>
  <c r="W124" i="6"/>
  <c r="W125" i="6"/>
  <c r="W126" i="6"/>
  <c r="W127" i="6"/>
  <c r="W128" i="6"/>
  <c r="W129" i="6"/>
  <c r="W130" i="6"/>
  <c r="W131" i="6"/>
  <c r="W132" i="6"/>
  <c r="W133" i="6"/>
  <c r="W134" i="6"/>
  <c r="W135" i="6"/>
  <c r="W136" i="6"/>
  <c r="W137" i="6"/>
  <c r="W138" i="6"/>
  <c r="W139" i="6"/>
  <c r="W140" i="6"/>
  <c r="W141" i="6"/>
  <c r="W142" i="6"/>
  <c r="W143" i="6"/>
  <c r="W144" i="6"/>
  <c r="W145" i="6"/>
  <c r="W146" i="6"/>
  <c r="W147" i="6"/>
  <c r="W148" i="6"/>
  <c r="W149" i="6"/>
  <c r="W150" i="6"/>
  <c r="W151" i="6"/>
  <c r="W152" i="6"/>
  <c r="W153" i="6"/>
  <c r="W154" i="6"/>
  <c r="W155" i="6"/>
  <c r="W156" i="6"/>
  <c r="W157" i="6"/>
  <c r="W158" i="6"/>
  <c r="W159" i="6"/>
  <c r="W160" i="6"/>
  <c r="W161" i="6"/>
  <c r="W162" i="6"/>
  <c r="W163" i="6"/>
  <c r="W164" i="6"/>
  <c r="W165" i="6"/>
  <c r="W166" i="6"/>
  <c r="W167" i="6"/>
  <c r="W168" i="6"/>
  <c r="W169" i="6"/>
  <c r="W170" i="6"/>
  <c r="W171" i="6"/>
  <c r="W172" i="6"/>
  <c r="W173" i="6"/>
  <c r="W174" i="6"/>
  <c r="W175" i="6"/>
  <c r="W176" i="6"/>
  <c r="W177" i="6"/>
  <c r="W178" i="6"/>
  <c r="W179" i="6"/>
  <c r="W180" i="6"/>
  <c r="W181" i="6"/>
  <c r="W182" i="6"/>
  <c r="W183" i="6"/>
  <c r="W184" i="6"/>
  <c r="W185" i="6"/>
  <c r="W186" i="6"/>
  <c r="U186" i="6"/>
  <c r="U184" i="6"/>
  <c r="U181" i="6"/>
  <c r="U177" i="6"/>
  <c r="U175" i="6"/>
  <c r="U174" i="6"/>
  <c r="U172" i="6"/>
  <c r="U171" i="6"/>
  <c r="U167" i="6"/>
  <c r="U166" i="6"/>
  <c r="U164" i="6"/>
  <c r="U163" i="6"/>
  <c r="U162" i="6"/>
  <c r="U161" i="6"/>
  <c r="U160" i="6"/>
  <c r="U159" i="6"/>
  <c r="U158" i="6"/>
  <c r="U157" i="6"/>
  <c r="U156" i="6"/>
  <c r="U155" i="6"/>
  <c r="U153" i="6"/>
  <c r="U152" i="6"/>
  <c r="U151" i="6"/>
  <c r="U149" i="6"/>
  <c r="U148" i="6"/>
  <c r="U146" i="6"/>
  <c r="U142" i="6"/>
  <c r="U141" i="6"/>
  <c r="U140" i="6"/>
  <c r="U139" i="6"/>
  <c r="U138" i="6"/>
  <c r="U137" i="6"/>
  <c r="U136" i="6"/>
  <c r="U134" i="6"/>
  <c r="U132" i="6"/>
  <c r="U130" i="6"/>
  <c r="U129" i="6"/>
  <c r="U128" i="6"/>
  <c r="U127" i="6"/>
  <c r="U126" i="6"/>
  <c r="U125" i="6"/>
  <c r="U123" i="6"/>
  <c r="U121" i="6"/>
  <c r="U119" i="6"/>
  <c r="U118" i="6"/>
  <c r="U116" i="6"/>
  <c r="U115" i="6"/>
  <c r="U114" i="6"/>
  <c r="U113" i="6"/>
  <c r="U112" i="6"/>
  <c r="U111" i="6"/>
  <c r="U110" i="6"/>
  <c r="U108" i="6"/>
  <c r="U107" i="6"/>
  <c r="U106" i="6"/>
  <c r="U105" i="6"/>
  <c r="U104" i="6"/>
  <c r="U103" i="6"/>
  <c r="U102" i="6"/>
  <c r="U97" i="6"/>
  <c r="U96" i="6"/>
  <c r="U95" i="6"/>
  <c r="U94" i="6"/>
  <c r="U93" i="6"/>
  <c r="U92" i="6"/>
  <c r="U91" i="6"/>
  <c r="U89" i="6"/>
  <c r="U86" i="6"/>
  <c r="U85" i="6"/>
  <c r="U84" i="6"/>
  <c r="U83" i="6"/>
  <c r="U82" i="6"/>
  <c r="U81" i="6"/>
  <c r="U80" i="6"/>
  <c r="U77" i="6"/>
  <c r="U73" i="6"/>
  <c r="U70" i="6"/>
  <c r="U69" i="6"/>
  <c r="U68" i="6"/>
  <c r="U67" i="6"/>
  <c r="U66" i="6"/>
  <c r="U62" i="6"/>
  <c r="U61" i="6"/>
  <c r="U60" i="6"/>
  <c r="U59" i="6"/>
  <c r="U58" i="6"/>
  <c r="U56" i="6"/>
  <c r="U55" i="6"/>
  <c r="U54" i="6"/>
  <c r="U53" i="6"/>
  <c r="U52" i="6"/>
  <c r="U51" i="6"/>
  <c r="U50" i="6"/>
  <c r="U47" i="6"/>
  <c r="U46" i="6"/>
  <c r="U44" i="6"/>
  <c r="U43" i="6"/>
  <c r="U42" i="6"/>
  <c r="U41" i="6"/>
  <c r="U40" i="6"/>
  <c r="U39" i="6"/>
  <c r="U34" i="6"/>
  <c r="U29" i="6"/>
  <c r="U21" i="6"/>
  <c r="U20" i="6"/>
  <c r="U19" i="6"/>
  <c r="U18" i="6"/>
  <c r="U17" i="6"/>
  <c r="U16" i="6"/>
  <c r="U15" i="6"/>
  <c r="U14" i="6"/>
  <c r="U13" i="6"/>
  <c r="U12" i="6"/>
  <c r="U11" i="6"/>
  <c r="U10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O186" i="6"/>
  <c r="O184" i="6"/>
  <c r="O181" i="6"/>
  <c r="O177" i="6"/>
  <c r="O175" i="6"/>
  <c r="O174" i="6"/>
  <c r="O172" i="6"/>
  <c r="O171" i="6"/>
  <c r="O167" i="6"/>
  <c r="O166" i="6"/>
  <c r="O164" i="6"/>
  <c r="O163" i="6"/>
  <c r="O162" i="6"/>
  <c r="O161" i="6"/>
  <c r="O160" i="6"/>
  <c r="O159" i="6"/>
  <c r="O158" i="6"/>
  <c r="O157" i="6"/>
  <c r="O156" i="6"/>
  <c r="O155" i="6"/>
  <c r="O153" i="6"/>
  <c r="O152" i="6"/>
  <c r="O151" i="6"/>
  <c r="O149" i="6"/>
  <c r="O148" i="6"/>
  <c r="O146" i="6"/>
  <c r="O142" i="6"/>
  <c r="O141" i="6"/>
  <c r="O140" i="6"/>
  <c r="O139" i="6"/>
  <c r="O138" i="6"/>
  <c r="O137" i="6"/>
  <c r="O136" i="6"/>
  <c r="O134" i="6"/>
  <c r="O132" i="6"/>
  <c r="O130" i="6"/>
  <c r="O129" i="6"/>
  <c r="O128" i="6"/>
  <c r="O127" i="6"/>
  <c r="O126" i="6"/>
  <c r="O125" i="6"/>
  <c r="O123" i="6"/>
  <c r="O121" i="6"/>
  <c r="O119" i="6"/>
  <c r="O118" i="6"/>
  <c r="O116" i="6"/>
  <c r="O115" i="6"/>
  <c r="O114" i="6"/>
  <c r="O113" i="6"/>
  <c r="O112" i="6"/>
  <c r="O111" i="6"/>
  <c r="O110" i="6"/>
  <c r="O108" i="6"/>
  <c r="O107" i="6"/>
  <c r="O106" i="6"/>
  <c r="O105" i="6"/>
  <c r="O104" i="6"/>
  <c r="O103" i="6"/>
  <c r="O102" i="6"/>
  <c r="O97" i="6"/>
  <c r="O96" i="6"/>
  <c r="O95" i="6"/>
  <c r="O94" i="6"/>
  <c r="O93" i="6"/>
  <c r="O92" i="6"/>
  <c r="O91" i="6"/>
  <c r="O89" i="6"/>
  <c r="O86" i="6"/>
  <c r="O85" i="6"/>
  <c r="O84" i="6"/>
  <c r="O83" i="6"/>
  <c r="O82" i="6"/>
  <c r="O81" i="6"/>
  <c r="O80" i="6"/>
  <c r="O77" i="6"/>
  <c r="O73" i="6"/>
  <c r="O70" i="6"/>
  <c r="O69" i="6"/>
  <c r="O68" i="6"/>
  <c r="O67" i="6"/>
  <c r="O66" i="6"/>
  <c r="O62" i="6"/>
  <c r="O61" i="6"/>
  <c r="O60" i="6"/>
  <c r="O59" i="6"/>
  <c r="O58" i="6"/>
  <c r="O56" i="6"/>
  <c r="O55" i="6"/>
  <c r="O54" i="6"/>
  <c r="O53" i="6"/>
  <c r="O52" i="6"/>
  <c r="O51" i="6"/>
  <c r="O50" i="6"/>
  <c r="O47" i="6"/>
  <c r="O46" i="6"/>
  <c r="O44" i="6"/>
  <c r="O43" i="6"/>
  <c r="O42" i="6"/>
  <c r="O41" i="6"/>
  <c r="O40" i="6"/>
  <c r="O39" i="6"/>
  <c r="O34" i="6"/>
  <c r="O29" i="6"/>
  <c r="O21" i="6"/>
  <c r="O20" i="6"/>
  <c r="O19" i="6"/>
  <c r="O18" i="6"/>
  <c r="O17" i="6"/>
  <c r="O16" i="6"/>
  <c r="O15" i="6"/>
  <c r="O14" i="6"/>
  <c r="O13" i="6"/>
  <c r="O12" i="6"/>
  <c r="O11" i="6"/>
  <c r="O10" i="6"/>
  <c r="A185" i="6"/>
  <c r="A183" i="6"/>
  <c r="A182" i="6"/>
  <c r="A180" i="6"/>
  <c r="A179" i="6"/>
  <c r="A178" i="6"/>
  <c r="A176" i="6"/>
  <c r="A173" i="6"/>
  <c r="A170" i="6"/>
  <c r="A169" i="6"/>
  <c r="A168" i="6"/>
  <c r="A165" i="6"/>
  <c r="A154" i="6"/>
  <c r="A150" i="6"/>
  <c r="A147" i="6"/>
  <c r="A145" i="6"/>
  <c r="A144" i="6"/>
  <c r="A143" i="6"/>
  <c r="A135" i="6"/>
  <c r="A133" i="6"/>
  <c r="A131" i="6"/>
  <c r="A124" i="6"/>
  <c r="A122" i="6"/>
  <c r="A120" i="6"/>
  <c r="A117" i="6"/>
  <c r="A109" i="6"/>
  <c r="A101" i="6"/>
  <c r="A100" i="6"/>
  <c r="A99" i="6"/>
  <c r="A90" i="6"/>
  <c r="A88" i="6"/>
  <c r="A87" i="6"/>
  <c r="A79" i="6"/>
  <c r="A78" i="6"/>
  <c r="A76" i="6"/>
  <c r="A75" i="6"/>
  <c r="A74" i="6"/>
  <c r="A72" i="6"/>
  <c r="A71" i="6"/>
  <c r="A65" i="6"/>
  <c r="A64" i="6"/>
  <c r="A63" i="6"/>
  <c r="A57" i="6"/>
  <c r="A49" i="6"/>
  <c r="A48" i="6"/>
  <c r="A45" i="6"/>
  <c r="A38" i="6"/>
  <c r="A37" i="6"/>
  <c r="A36" i="6"/>
  <c r="A35" i="6"/>
  <c r="A33" i="6"/>
  <c r="A32" i="6"/>
  <c r="A31" i="6"/>
  <c r="A30" i="6"/>
  <c r="A28" i="6"/>
  <c r="A27" i="6"/>
  <c r="A26" i="6"/>
  <c r="A25" i="6"/>
  <c r="A24" i="6"/>
  <c r="A23" i="6"/>
  <c r="J17" i="6"/>
  <c r="D689" i="2"/>
  <c r="I627" i="2"/>
  <c r="I626" i="2"/>
  <c r="I625" i="2"/>
  <c r="I624" i="2"/>
  <c r="I623" i="2"/>
  <c r="I622" i="2"/>
  <c r="D601" i="2"/>
  <c r="D603" i="2"/>
  <c r="D602" i="2"/>
  <c r="F170" i="6"/>
  <c r="E170" i="6"/>
  <c r="D170" i="6"/>
  <c r="C170" i="6"/>
  <c r="B170" i="6"/>
  <c r="U170" i="6" l="1"/>
  <c r="AA170" i="6"/>
  <c r="O170" i="6"/>
  <c r="I170" i="6"/>
  <c r="I628" i="2"/>
  <c r="I351" i="2" l="1"/>
  <c r="I350" i="2"/>
  <c r="I349" i="2"/>
  <c r="I348" i="2"/>
  <c r="I347" i="2"/>
  <c r="I346" i="2"/>
  <c r="D386" i="2"/>
  <c r="B122" i="6"/>
  <c r="C71" i="6"/>
  <c r="E24" i="6"/>
  <c r="E147" i="6"/>
  <c r="D165" i="6"/>
  <c r="F109" i="6"/>
  <c r="B13" i="6"/>
  <c r="D33" i="6"/>
  <c r="E88" i="6"/>
  <c r="E36" i="6"/>
  <c r="C100" i="6"/>
  <c r="B21" i="6"/>
  <c r="E144" i="6"/>
  <c r="D88" i="6"/>
  <c r="D36" i="6"/>
  <c r="E33" i="6"/>
  <c r="B167" i="6"/>
  <c r="B115" i="6"/>
  <c r="B63" i="6"/>
  <c r="C15" i="6"/>
  <c r="B108" i="6"/>
  <c r="B160" i="6"/>
  <c r="B105" i="6"/>
  <c r="B53" i="6"/>
  <c r="C179" i="6"/>
  <c r="B100" i="6"/>
  <c r="F37" i="6"/>
  <c r="F33" i="6"/>
  <c r="E178" i="6"/>
  <c r="F180" i="6"/>
  <c r="B185" i="6"/>
  <c r="E182" i="6"/>
  <c r="D124" i="6"/>
  <c r="F48" i="6"/>
  <c r="B71" i="6"/>
  <c r="C99" i="6"/>
  <c r="E117" i="6"/>
  <c r="B171" i="6"/>
  <c r="C119" i="6"/>
  <c r="D65" i="6"/>
  <c r="B23" i="6"/>
  <c r="B133" i="6"/>
  <c r="B162" i="6"/>
  <c r="B107" i="6"/>
  <c r="B55" i="6"/>
  <c r="B177" i="6"/>
  <c r="B14" i="6"/>
  <c r="C143" i="6"/>
  <c r="B87" i="6"/>
  <c r="B35" i="6"/>
  <c r="B85" i="6"/>
  <c r="B143" i="6"/>
  <c r="C86" i="6"/>
  <c r="C34" i="6"/>
  <c r="D23" i="6"/>
  <c r="C164" i="6"/>
  <c r="C109" i="6"/>
  <c r="C57" i="6"/>
  <c r="C11" i="6"/>
  <c r="E87" i="6"/>
  <c r="C154" i="6"/>
  <c r="D100" i="6"/>
  <c r="D48" i="6"/>
  <c r="C174" i="6"/>
  <c r="D185" i="6"/>
  <c r="B32" i="6"/>
  <c r="B62" i="6"/>
  <c r="C161" i="6"/>
  <c r="B54" i="6"/>
  <c r="E122" i="6"/>
  <c r="B124" i="6"/>
  <c r="B79" i="6"/>
  <c r="B128" i="6"/>
  <c r="B174" i="6"/>
  <c r="D180" i="6"/>
  <c r="E101" i="6"/>
  <c r="B46" i="6"/>
  <c r="D64" i="6"/>
  <c r="D168" i="6"/>
  <c r="B117" i="6"/>
  <c r="F63" i="6"/>
  <c r="C20" i="6"/>
  <c r="C113" i="6"/>
  <c r="B158" i="6"/>
  <c r="C101" i="6"/>
  <c r="C49" i="6"/>
  <c r="E150" i="6"/>
  <c r="F183" i="6"/>
  <c r="C139" i="6"/>
  <c r="B83" i="6"/>
  <c r="F32" i="6"/>
  <c r="F65" i="6"/>
  <c r="E183" i="6"/>
  <c r="B139" i="6"/>
  <c r="F79" i="6"/>
  <c r="E32" i="6"/>
  <c r="B163" i="6"/>
  <c r="C160" i="6"/>
  <c r="C105" i="6"/>
  <c r="C53" i="6"/>
  <c r="B183" i="6"/>
  <c r="B73" i="6"/>
  <c r="F98" i="6"/>
  <c r="E45" i="6"/>
  <c r="B154" i="6"/>
  <c r="B64" i="6"/>
  <c r="C85" i="6"/>
  <c r="C131" i="6"/>
  <c r="C33" i="6"/>
  <c r="C106" i="6"/>
  <c r="E179" i="6"/>
  <c r="C25" i="6"/>
  <c r="D37" i="6"/>
  <c r="B131" i="6"/>
  <c r="E26" i="6"/>
  <c r="D99" i="6"/>
  <c r="B22" i="6"/>
  <c r="E165" i="6"/>
  <c r="B113" i="6"/>
  <c r="B61" i="6"/>
  <c r="C13" i="6"/>
  <c r="C89" i="6"/>
  <c r="C152" i="6"/>
  <c r="E99" i="6"/>
  <c r="B47" i="6"/>
  <c r="E124" i="6"/>
  <c r="C182" i="6"/>
  <c r="B134" i="6"/>
  <c r="D78" i="6"/>
  <c r="C31" i="6"/>
  <c r="B42" i="6"/>
  <c r="B182" i="6"/>
  <c r="C78" i="6"/>
  <c r="B31" i="6"/>
  <c r="C122" i="6"/>
  <c r="D154" i="6"/>
  <c r="E100" i="6"/>
  <c r="E48" i="6"/>
  <c r="B166" i="6"/>
  <c r="E49" i="6"/>
  <c r="B148" i="6"/>
  <c r="B96" i="6"/>
  <c r="C42" i="6"/>
  <c r="B144" i="6"/>
  <c r="F38" i="6"/>
  <c r="B142" i="6"/>
  <c r="D28" i="6"/>
  <c r="C140" i="6"/>
  <c r="B106" i="6"/>
  <c r="B175" i="6"/>
  <c r="D176" i="6"/>
  <c r="B172" i="6"/>
  <c r="E180" i="6"/>
  <c r="C162" i="6"/>
  <c r="C107" i="6"/>
  <c r="C55" i="6"/>
  <c r="C185" i="6"/>
  <c r="C75" i="6"/>
  <c r="B150" i="6"/>
  <c r="B98" i="6"/>
  <c r="C44" i="6"/>
  <c r="C108" i="6"/>
  <c r="B180" i="6"/>
  <c r="F131" i="6"/>
  <c r="C76" i="6"/>
  <c r="B29" i="6"/>
  <c r="D30" i="6"/>
  <c r="F179" i="6"/>
  <c r="E131" i="6"/>
  <c r="B76" i="6"/>
  <c r="F28" i="6"/>
  <c r="B95" i="6"/>
  <c r="B151" i="6"/>
  <c r="B99" i="6"/>
  <c r="F45" i="6"/>
  <c r="C37" i="6"/>
  <c r="C90" i="6"/>
  <c r="E37" i="6"/>
  <c r="D122" i="6"/>
  <c r="F31" i="6"/>
  <c r="D90" i="6"/>
  <c r="E72" i="6"/>
  <c r="B69" i="6"/>
  <c r="E173" i="6"/>
  <c r="E65" i="6"/>
  <c r="E168" i="6"/>
  <c r="C158" i="6"/>
  <c r="D101" i="6"/>
  <c r="D49" i="6"/>
  <c r="C163" i="6"/>
  <c r="B56" i="6"/>
  <c r="C147" i="6"/>
  <c r="B94" i="6"/>
  <c r="D38" i="6"/>
  <c r="D178" i="6"/>
  <c r="B129" i="6"/>
  <c r="E74" i="6"/>
  <c r="D27" i="6"/>
  <c r="C21" i="6"/>
  <c r="C178" i="6"/>
  <c r="C128" i="6"/>
  <c r="D74" i="6"/>
  <c r="C27" i="6"/>
  <c r="D71" i="6"/>
  <c r="C148" i="6"/>
  <c r="C96" i="6"/>
  <c r="B43" i="6"/>
  <c r="D135" i="6"/>
  <c r="F24" i="6"/>
  <c r="C144" i="6"/>
  <c r="B88" i="6"/>
  <c r="B36" i="6"/>
  <c r="E98" i="6"/>
  <c r="C23" i="6"/>
  <c r="B146" i="6"/>
  <c r="E27" i="6"/>
  <c r="D131" i="6"/>
  <c r="B135" i="6"/>
  <c r="B49" i="6"/>
  <c r="C172" i="6"/>
  <c r="C132" i="6"/>
  <c r="D24" i="6"/>
  <c r="C175" i="6"/>
  <c r="C153" i="6"/>
  <c r="B153" i="6"/>
  <c r="C47" i="6"/>
  <c r="E145" i="6"/>
  <c r="E35" i="6"/>
  <c r="B145" i="6"/>
  <c r="F36" i="6"/>
  <c r="E71" i="6"/>
  <c r="C176" i="6"/>
  <c r="C123" i="6"/>
  <c r="D72" i="6"/>
  <c r="F25" i="6"/>
  <c r="F182" i="6"/>
  <c r="B176" i="6"/>
  <c r="B123" i="6"/>
  <c r="C72" i="6"/>
  <c r="E25" i="6"/>
  <c r="B48" i="6"/>
  <c r="D117" i="6"/>
  <c r="C79" i="6"/>
  <c r="B84" i="6"/>
  <c r="C54" i="6"/>
  <c r="B25" i="6"/>
  <c r="E31" i="6"/>
  <c r="B101" i="6"/>
  <c r="C74" i="6"/>
  <c r="B30" i="6"/>
  <c r="B152" i="6"/>
  <c r="C150" i="6"/>
  <c r="C98" i="6"/>
  <c r="B45" i="6"/>
  <c r="C133" i="6"/>
  <c r="D26" i="6"/>
  <c r="D143" i="6"/>
  <c r="C87" i="6"/>
  <c r="C35" i="6"/>
  <c r="D45" i="6"/>
  <c r="D173" i="6"/>
  <c r="B121" i="6"/>
  <c r="C70" i="6"/>
  <c r="C24" i="6"/>
  <c r="C171" i="6"/>
  <c r="C173" i="6"/>
  <c r="B70" i="6"/>
  <c r="B24" i="6"/>
  <c r="B28" i="6"/>
  <c r="D144" i="6"/>
  <c r="C88" i="6"/>
  <c r="C36" i="6"/>
  <c r="C95" i="6"/>
  <c r="C183" i="6"/>
  <c r="E135" i="6"/>
  <c r="D79" i="6"/>
  <c r="C32" i="6"/>
  <c r="C64" i="6"/>
  <c r="E79" i="6"/>
  <c r="D179" i="6"/>
  <c r="B27" i="6"/>
  <c r="E23" i="6"/>
  <c r="E76" i="6"/>
  <c r="C46" i="6"/>
  <c r="B72" i="6"/>
  <c r="D147" i="6"/>
  <c r="C94" i="6"/>
  <c r="E38" i="6"/>
  <c r="B114" i="6"/>
  <c r="B184" i="6"/>
  <c r="B140" i="6"/>
  <c r="C83" i="6"/>
  <c r="B33" i="6"/>
  <c r="C28" i="6"/>
  <c r="E169" i="6"/>
  <c r="C118" i="6"/>
  <c r="B65" i="6"/>
  <c r="E22" i="6"/>
  <c r="D150" i="6"/>
  <c r="D169" i="6"/>
  <c r="B118" i="6"/>
  <c r="F64" i="6"/>
  <c r="D22" i="6"/>
  <c r="E185" i="6"/>
  <c r="C142" i="6"/>
  <c r="B86" i="6"/>
  <c r="B34" i="6"/>
  <c r="C73" i="6"/>
  <c r="B181" i="6"/>
  <c r="D133" i="6"/>
  <c r="C77" i="6"/>
  <c r="E30" i="6"/>
  <c r="C48" i="6"/>
  <c r="F49" i="6"/>
  <c r="E75" i="6"/>
  <c r="C129" i="6"/>
  <c r="D98" i="6"/>
  <c r="E28" i="6"/>
  <c r="C145" i="6"/>
  <c r="B89" i="6"/>
  <c r="B37" i="6"/>
  <c r="B90" i="6"/>
  <c r="D182" i="6"/>
  <c r="C134" i="6"/>
  <c r="E78" i="6"/>
  <c r="D31" i="6"/>
  <c r="F176" i="6"/>
  <c r="B168" i="6"/>
  <c r="B116" i="6"/>
  <c r="D63" i="6"/>
  <c r="C16" i="6"/>
  <c r="C135" i="6"/>
  <c r="C167" i="6"/>
  <c r="C115" i="6"/>
  <c r="C63" i="6"/>
  <c r="B16" i="6"/>
  <c r="D183" i="6"/>
  <c r="D32" i="6"/>
  <c r="B169" i="6"/>
  <c r="E143" i="6"/>
  <c r="D87" i="6"/>
  <c r="D35" i="6"/>
  <c r="D75" i="6"/>
  <c r="C180" i="6"/>
  <c r="B132" i="6"/>
  <c r="D76" i="6"/>
  <c r="C29" i="6"/>
  <c r="B159" i="6"/>
  <c r="C165" i="6"/>
  <c r="E109" i="6"/>
  <c r="E57" i="6"/>
  <c r="C12" i="6"/>
  <c r="C117" i="6"/>
  <c r="B165" i="6"/>
  <c r="D109" i="6"/>
  <c r="D57" i="6"/>
  <c r="B12" i="6"/>
  <c r="C181" i="6"/>
  <c r="E133" i="6"/>
  <c r="B78" i="6"/>
  <c r="F30" i="6"/>
  <c r="F35" i="6"/>
  <c r="C177" i="6"/>
  <c r="B74" i="6"/>
  <c r="F26" i="6"/>
  <c r="C14" i="6"/>
  <c r="C184" i="6"/>
  <c r="B161" i="6"/>
  <c r="F71" i="6"/>
  <c r="B26" i="6"/>
  <c r="E154" i="6"/>
  <c r="B178" i="6"/>
  <c r="D120" i="6"/>
  <c r="C121" i="6"/>
  <c r="C159" i="6"/>
  <c r="D25" i="6"/>
  <c r="F178" i="6"/>
  <c r="B130" i="6"/>
  <c r="B75" i="6"/>
  <c r="F27" i="6"/>
  <c r="B179" i="6"/>
  <c r="B119" i="6"/>
  <c r="C65" i="6"/>
  <c r="F22" i="6"/>
  <c r="C84" i="6"/>
  <c r="C149" i="6"/>
  <c r="C97" i="6"/>
  <c r="B44" i="6"/>
  <c r="C141" i="6"/>
  <c r="C45" i="6"/>
  <c r="B149" i="6"/>
  <c r="B97" i="6"/>
  <c r="C43" i="6"/>
  <c r="B77" i="6"/>
  <c r="B173" i="6"/>
  <c r="E120" i="6"/>
  <c r="C69" i="6"/>
  <c r="F23" i="6"/>
  <c r="D145" i="6"/>
  <c r="C166" i="6"/>
  <c r="C114" i="6"/>
  <c r="C62" i="6"/>
  <c r="B15" i="6"/>
  <c r="B141" i="6"/>
  <c r="E176" i="6"/>
  <c r="C124" i="6"/>
  <c r="F72" i="6"/>
  <c r="C26" i="6"/>
  <c r="C168" i="6"/>
  <c r="C116" i="6"/>
  <c r="E63" i="6"/>
  <c r="B20" i="6"/>
  <c r="C61" i="6"/>
  <c r="B147" i="6"/>
  <c r="C38" i="6"/>
  <c r="C120" i="6"/>
  <c r="C30" i="6"/>
  <c r="C146" i="6"/>
  <c r="E90" i="6"/>
  <c r="B38" i="6"/>
  <c r="C56" i="6"/>
  <c r="C169" i="6"/>
  <c r="E64" i="6"/>
  <c r="C22" i="6"/>
  <c r="C130" i="6"/>
  <c r="B164" i="6"/>
  <c r="B109" i="6"/>
  <c r="B57" i="6"/>
  <c r="B11" i="6"/>
  <c r="B120" i="6"/>
  <c r="C151" i="6"/>
  <c r="U25" i="6" l="1"/>
  <c r="AA25" i="6"/>
  <c r="O25" i="6"/>
  <c r="U109" i="6"/>
  <c r="O109" i="6"/>
  <c r="AA109" i="6"/>
  <c r="AA35" i="6"/>
  <c r="U35" i="6"/>
  <c r="O35" i="6"/>
  <c r="O32" i="6"/>
  <c r="U32" i="6"/>
  <c r="AA32" i="6"/>
  <c r="AA183" i="6"/>
  <c r="U183" i="6"/>
  <c r="O183" i="6"/>
  <c r="O63" i="6"/>
  <c r="U63" i="6"/>
  <c r="AA63" i="6"/>
  <c r="AA31" i="6"/>
  <c r="U31" i="6"/>
  <c r="O31" i="6"/>
  <c r="AA182" i="6"/>
  <c r="U182" i="6"/>
  <c r="O182" i="6"/>
  <c r="AA98" i="6"/>
  <c r="O98" i="6"/>
  <c r="U98" i="6"/>
  <c r="AA22" i="6"/>
  <c r="U22" i="6"/>
  <c r="O22" i="6"/>
  <c r="O179" i="6"/>
  <c r="AA179" i="6"/>
  <c r="U179" i="6"/>
  <c r="U79" i="6"/>
  <c r="O79" i="6"/>
  <c r="AA79" i="6"/>
  <c r="U45" i="6"/>
  <c r="O45" i="6"/>
  <c r="AA45" i="6"/>
  <c r="AA26" i="6"/>
  <c r="O26" i="6"/>
  <c r="U26" i="6"/>
  <c r="AA72" i="6"/>
  <c r="U72" i="6"/>
  <c r="O72" i="6"/>
  <c r="AA24" i="6"/>
  <c r="U24" i="6"/>
  <c r="O24" i="6"/>
  <c r="AA131" i="6"/>
  <c r="U131" i="6"/>
  <c r="O131" i="6"/>
  <c r="AA71" i="6"/>
  <c r="U71" i="6"/>
  <c r="O71" i="6"/>
  <c r="AA27" i="6"/>
  <c r="U27" i="6"/>
  <c r="O27" i="6"/>
  <c r="O178" i="6"/>
  <c r="AA178" i="6"/>
  <c r="U178" i="6"/>
  <c r="AA38" i="6"/>
  <c r="U38" i="6"/>
  <c r="O38" i="6"/>
  <c r="O49" i="6"/>
  <c r="U49" i="6"/>
  <c r="AA49" i="6"/>
  <c r="O30" i="6"/>
  <c r="U30" i="6"/>
  <c r="AA30" i="6"/>
  <c r="O176" i="6"/>
  <c r="U176" i="6"/>
  <c r="AA176" i="6"/>
  <c r="AA28" i="6"/>
  <c r="U28" i="6"/>
  <c r="O28" i="6"/>
  <c r="AA37" i="6"/>
  <c r="U37" i="6"/>
  <c r="O37" i="6"/>
  <c r="U64" i="6"/>
  <c r="AA64" i="6"/>
  <c r="O64" i="6"/>
  <c r="AA180" i="6"/>
  <c r="U180" i="6"/>
  <c r="O180" i="6"/>
  <c r="O48" i="6"/>
  <c r="AA48" i="6"/>
  <c r="U48" i="6"/>
  <c r="AA23" i="6"/>
  <c r="U23" i="6"/>
  <c r="O23" i="6"/>
  <c r="AA65" i="6"/>
  <c r="O65" i="6"/>
  <c r="U65" i="6"/>
  <c r="AA36" i="6"/>
  <c r="U36" i="6"/>
  <c r="O36" i="6"/>
  <c r="U33" i="6"/>
  <c r="AA33" i="6"/>
  <c r="O33" i="6"/>
  <c r="I352" i="2"/>
  <c r="I22" i="6"/>
  <c r="I23" i="6"/>
  <c r="I24" i="6"/>
  <c r="I25" i="6"/>
  <c r="I26" i="6"/>
  <c r="I27" i="6"/>
  <c r="I28" i="6"/>
  <c r="I30" i="6"/>
  <c r="I31" i="6"/>
  <c r="I32" i="6"/>
  <c r="I33" i="6"/>
  <c r="I35" i="6"/>
  <c r="I36" i="6"/>
  <c r="I37" i="6"/>
  <c r="I38" i="6"/>
  <c r="I45" i="6"/>
  <c r="I48" i="6"/>
  <c r="I49" i="6"/>
  <c r="I63" i="6"/>
  <c r="I64" i="6"/>
  <c r="I65" i="6"/>
  <c r="I71" i="6"/>
  <c r="I72" i="6"/>
  <c r="I79" i="6"/>
  <c r="I109" i="6"/>
  <c r="J110" i="6" s="1"/>
  <c r="I131" i="6"/>
  <c r="I176" i="6"/>
  <c r="I178" i="6"/>
  <c r="I179" i="6"/>
  <c r="I180" i="6"/>
  <c r="I182" i="6"/>
  <c r="I183" i="6"/>
  <c r="J66" i="6" l="1"/>
  <c r="J50" i="6"/>
  <c r="J39" i="6"/>
  <c r="E490" i="2"/>
  <c r="E478" i="2"/>
  <c r="I689" i="2"/>
  <c r="I690" i="2"/>
  <c r="I691" i="2"/>
  <c r="I692" i="2"/>
  <c r="I693" i="2"/>
  <c r="I694" i="2"/>
  <c r="I639" i="2"/>
  <c r="I640" i="2"/>
  <c r="I641" i="2"/>
  <c r="I642" i="2"/>
  <c r="I643" i="2"/>
  <c r="I644" i="2"/>
  <c r="I611" i="2"/>
  <c r="I612" i="2"/>
  <c r="I613" i="2"/>
  <c r="I614" i="2"/>
  <c r="I615" i="2"/>
  <c r="I616" i="2"/>
  <c r="I600" i="2"/>
  <c r="I601" i="2"/>
  <c r="I602" i="2"/>
  <c r="I603" i="2"/>
  <c r="I604" i="2"/>
  <c r="I605" i="2"/>
  <c r="I583" i="2"/>
  <c r="I584" i="2"/>
  <c r="I585" i="2"/>
  <c r="I586" i="2"/>
  <c r="I587" i="2"/>
  <c r="I588" i="2"/>
  <c r="I551" i="2"/>
  <c r="I552" i="2"/>
  <c r="I553" i="2"/>
  <c r="I554" i="2"/>
  <c r="I555" i="2"/>
  <c r="I556" i="2"/>
  <c r="I531" i="2"/>
  <c r="I532" i="2"/>
  <c r="I533" i="2"/>
  <c r="I534" i="2"/>
  <c r="I535" i="2"/>
  <c r="I536" i="2"/>
  <c r="I514" i="2"/>
  <c r="I515" i="2"/>
  <c r="I516" i="2"/>
  <c r="I517" i="2"/>
  <c r="I518" i="2"/>
  <c r="I519" i="2"/>
  <c r="I500" i="2"/>
  <c r="I501" i="2"/>
  <c r="I502" i="2"/>
  <c r="I503" i="2"/>
  <c r="I504" i="2"/>
  <c r="I505" i="2"/>
  <c r="I489" i="2"/>
  <c r="I490" i="2"/>
  <c r="I491" i="2"/>
  <c r="I492" i="2"/>
  <c r="I493" i="2"/>
  <c r="I494" i="2"/>
  <c r="I478" i="2"/>
  <c r="I479" i="2"/>
  <c r="I480" i="2"/>
  <c r="I481" i="2"/>
  <c r="I482" i="2"/>
  <c r="I483" i="2"/>
  <c r="I456" i="2"/>
  <c r="I457" i="2"/>
  <c r="I458" i="2"/>
  <c r="I459" i="2"/>
  <c r="I460" i="2"/>
  <c r="I442" i="2"/>
  <c r="I443" i="2"/>
  <c r="I444" i="2"/>
  <c r="I445" i="2"/>
  <c r="I446" i="2"/>
  <c r="I414" i="2"/>
  <c r="I415" i="2"/>
  <c r="I416" i="2"/>
  <c r="I417" i="2"/>
  <c r="I418" i="2"/>
  <c r="I419" i="2"/>
  <c r="I400" i="2"/>
  <c r="I401" i="2"/>
  <c r="I402" i="2"/>
  <c r="I403" i="2"/>
  <c r="I404" i="2"/>
  <c r="I405" i="2"/>
  <c r="I386" i="2"/>
  <c r="I387" i="2"/>
  <c r="I388" i="2"/>
  <c r="I389" i="2"/>
  <c r="I390" i="2"/>
  <c r="I391" i="2"/>
  <c r="I369" i="2"/>
  <c r="I370" i="2"/>
  <c r="I371" i="2"/>
  <c r="I372" i="2"/>
  <c r="I373" i="2"/>
  <c r="I374" i="2"/>
  <c r="I323" i="2"/>
  <c r="I324" i="2"/>
  <c r="I325" i="2"/>
  <c r="I326" i="2"/>
  <c r="I327" i="2"/>
  <c r="I328" i="2"/>
  <c r="I312" i="2"/>
  <c r="I313" i="2"/>
  <c r="I314" i="2"/>
  <c r="I315" i="2"/>
  <c r="I316" i="2"/>
  <c r="I317" i="2"/>
  <c r="I302" i="2"/>
  <c r="I303" i="2"/>
  <c r="I304" i="2"/>
  <c r="I305" i="2"/>
  <c r="I306" i="2"/>
  <c r="I277" i="2"/>
  <c r="I278" i="2"/>
  <c r="I279" i="2"/>
  <c r="I280" i="2"/>
  <c r="I262" i="2"/>
  <c r="I263" i="2"/>
  <c r="I264" i="2"/>
  <c r="I265" i="2"/>
  <c r="I266" i="2"/>
  <c r="I250" i="2"/>
  <c r="I251" i="2"/>
  <c r="I252" i="2"/>
  <c r="I253" i="2"/>
  <c r="I254" i="2"/>
  <c r="I255" i="2"/>
  <c r="I224" i="2"/>
  <c r="I225" i="2"/>
  <c r="I226" i="2"/>
  <c r="I227" i="2"/>
  <c r="I228" i="2"/>
  <c r="I209" i="2"/>
  <c r="I210" i="2"/>
  <c r="I211" i="2"/>
  <c r="I212" i="2"/>
  <c r="I213" i="2"/>
  <c r="I214" i="2"/>
  <c r="I199" i="2"/>
  <c r="I200" i="2"/>
  <c r="I201" i="2"/>
  <c r="I202" i="2"/>
  <c r="I203" i="2"/>
  <c r="I187" i="2"/>
  <c r="I188" i="2"/>
  <c r="I189" i="2"/>
  <c r="I190" i="2"/>
  <c r="I191" i="2"/>
  <c r="I192" i="2"/>
  <c r="I141" i="2"/>
  <c r="I142" i="2"/>
  <c r="I143" i="2"/>
  <c r="I144" i="2"/>
  <c r="I145" i="2"/>
  <c r="I146" i="2"/>
  <c r="I506" i="2" l="1"/>
  <c r="I695" i="2"/>
  <c r="I392" i="2"/>
  <c r="I495" i="2"/>
  <c r="I406" i="2"/>
  <c r="I193" i="2"/>
  <c r="I375" i="2"/>
  <c r="I484" i="2"/>
  <c r="I589" i="2"/>
  <c r="I420" i="2"/>
  <c r="I256" i="2"/>
  <c r="I617" i="2"/>
  <c r="I318" i="2"/>
  <c r="I147" i="2"/>
  <c r="I520" i="2"/>
  <c r="I557" i="2"/>
  <c r="I215" i="2"/>
  <c r="I329" i="2"/>
  <c r="I537" i="2"/>
  <c r="I645" i="2"/>
  <c r="I606" i="2"/>
  <c r="F145" i="6"/>
  <c r="F101" i="6"/>
  <c r="F150" i="6"/>
  <c r="F144" i="6"/>
  <c r="F173" i="6"/>
  <c r="F74" i="6"/>
  <c r="F165" i="6"/>
  <c r="F169" i="6"/>
  <c r="F185" i="6"/>
  <c r="F168" i="6"/>
  <c r="F143" i="6"/>
  <c r="F87" i="6"/>
  <c r="F57" i="6"/>
  <c r="F147" i="6"/>
  <c r="F120" i="6"/>
  <c r="F122" i="6"/>
  <c r="F117" i="6"/>
  <c r="F124" i="6"/>
  <c r="F100" i="6"/>
  <c r="F154" i="6"/>
  <c r="F76" i="6"/>
  <c r="U76" i="6" l="1"/>
  <c r="O76" i="6"/>
  <c r="AA76" i="6"/>
  <c r="AA154" i="6"/>
  <c r="O154" i="6"/>
  <c r="U154" i="6"/>
  <c r="O100" i="6"/>
  <c r="AA100" i="6"/>
  <c r="U100" i="6"/>
  <c r="O124" i="6"/>
  <c r="AA124" i="6"/>
  <c r="U124" i="6"/>
  <c r="O117" i="6"/>
  <c r="U117" i="6"/>
  <c r="AA117" i="6"/>
  <c r="O122" i="6"/>
  <c r="U122" i="6"/>
  <c r="AA122" i="6"/>
  <c r="U120" i="6"/>
  <c r="O120" i="6"/>
  <c r="AA120" i="6"/>
  <c r="U147" i="6"/>
  <c r="O147" i="6"/>
  <c r="AA147" i="6"/>
  <c r="AA57" i="6"/>
  <c r="U57" i="6"/>
  <c r="O57" i="6"/>
  <c r="AA87" i="6"/>
  <c r="U87" i="6"/>
  <c r="O87" i="6"/>
  <c r="U143" i="6"/>
  <c r="O143" i="6"/>
  <c r="AA143" i="6"/>
  <c r="AA168" i="6"/>
  <c r="U168" i="6"/>
  <c r="O168" i="6"/>
  <c r="U185" i="6"/>
  <c r="O185" i="6"/>
  <c r="AA185" i="6"/>
  <c r="U165" i="6"/>
  <c r="O165" i="6"/>
  <c r="AA165" i="6"/>
  <c r="AA74" i="6"/>
  <c r="U74" i="6"/>
  <c r="O74" i="6"/>
  <c r="AA173" i="6"/>
  <c r="U173" i="6"/>
  <c r="O173" i="6"/>
  <c r="AA144" i="6"/>
  <c r="U144" i="6"/>
  <c r="O144" i="6"/>
  <c r="AA150" i="6"/>
  <c r="U150" i="6"/>
  <c r="O150" i="6"/>
  <c r="U101" i="6"/>
  <c r="O101" i="6"/>
  <c r="AA101" i="6"/>
  <c r="U145" i="6"/>
  <c r="AA145" i="6"/>
  <c r="O145" i="6"/>
  <c r="AA169" i="6"/>
  <c r="O169" i="6"/>
  <c r="U169" i="6"/>
  <c r="I154" i="6"/>
  <c r="I100" i="6"/>
  <c r="I124" i="6"/>
  <c r="I117" i="6"/>
  <c r="I122" i="6"/>
  <c r="I120" i="6"/>
  <c r="I147" i="6"/>
  <c r="I57" i="6"/>
  <c r="J58" i="6" s="1"/>
  <c r="I87" i="6"/>
  <c r="I143" i="6"/>
  <c r="I168" i="6"/>
  <c r="I185" i="6"/>
  <c r="I169" i="6"/>
  <c r="I165" i="6"/>
  <c r="I74" i="6"/>
  <c r="I173" i="6"/>
  <c r="I144" i="6"/>
  <c r="I150" i="6"/>
  <c r="I101" i="6"/>
  <c r="I145" i="6"/>
  <c r="D275" i="2"/>
  <c r="I275" i="2" s="1"/>
  <c r="I76" i="6"/>
  <c r="D261" i="2"/>
  <c r="I261" i="2" s="1"/>
  <c r="I267" i="2" s="1"/>
  <c r="D441" i="2"/>
  <c r="I441" i="2" s="1"/>
  <c r="I447" i="2" s="1"/>
  <c r="D455" i="2"/>
  <c r="I455" i="2" s="1"/>
  <c r="I461" i="2" s="1"/>
  <c r="D223" i="2"/>
  <c r="I223" i="2" s="1"/>
  <c r="I229" i="2" s="1"/>
  <c r="I198" i="2"/>
  <c r="I204" i="2" s="1"/>
  <c r="D301" i="2"/>
  <c r="I301" i="2" s="1"/>
  <c r="I307" i="2" s="1"/>
  <c r="F99" i="6"/>
  <c r="F75" i="6"/>
  <c r="F78" i="6"/>
  <c r="F88" i="6"/>
  <c r="F135" i="6"/>
  <c r="F133" i="6"/>
  <c r="U133" i="6" l="1"/>
  <c r="AA133" i="6"/>
  <c r="O133" i="6"/>
  <c r="AA135" i="6"/>
  <c r="U135" i="6"/>
  <c r="O135" i="6"/>
  <c r="O88" i="6"/>
  <c r="AA88" i="6"/>
  <c r="U88" i="6"/>
  <c r="U78" i="6"/>
  <c r="AA78" i="6"/>
  <c r="O78" i="6"/>
  <c r="U75" i="6"/>
  <c r="O75" i="6"/>
  <c r="AA75" i="6"/>
  <c r="AA99" i="6"/>
  <c r="U99" i="6"/>
  <c r="O99" i="6"/>
  <c r="J125" i="6"/>
  <c r="J186" i="6"/>
  <c r="J155" i="6"/>
  <c r="I78" i="6"/>
  <c r="I75" i="6"/>
  <c r="J80" i="6" s="1"/>
  <c r="I99" i="6"/>
  <c r="J102" i="6" s="1"/>
  <c r="I133" i="6"/>
  <c r="I135" i="6"/>
  <c r="I88" i="6"/>
  <c r="D276" i="2"/>
  <c r="I276" i="2" s="1"/>
  <c r="I281" i="2" s="1"/>
  <c r="F90" i="6"/>
  <c r="AA90" i="6" l="1"/>
  <c r="O90" i="6"/>
  <c r="U90" i="6"/>
  <c r="O187" i="6"/>
  <c r="AA187" i="6"/>
  <c r="U187" i="6"/>
  <c r="J136" i="6"/>
  <c r="I90" i="6"/>
  <c r="I187" i="6" s="1"/>
  <c r="I189" i="6" l="1"/>
  <c r="I191" i="6" s="1"/>
  <c r="AB25" i="6"/>
  <c r="AB41" i="6"/>
  <c r="AB57" i="6"/>
  <c r="AB73" i="6"/>
  <c r="AB89" i="6"/>
  <c r="AB105" i="6"/>
  <c r="AB121" i="6"/>
  <c r="AB137" i="6"/>
  <c r="AB153" i="6"/>
  <c r="AB169" i="6"/>
  <c r="AB185" i="6"/>
  <c r="AB24" i="6"/>
  <c r="AB10" i="6"/>
  <c r="AB26" i="6"/>
  <c r="AB42" i="6"/>
  <c r="AB58" i="6"/>
  <c r="AB74" i="6"/>
  <c r="AB90" i="6"/>
  <c r="AB106" i="6"/>
  <c r="AB122" i="6"/>
  <c r="AB138" i="6"/>
  <c r="AB154" i="6"/>
  <c r="AB170" i="6"/>
  <c r="AB186" i="6"/>
  <c r="AB11" i="6"/>
  <c r="AB27" i="6"/>
  <c r="AB43" i="6"/>
  <c r="AB59" i="6"/>
  <c r="AB75" i="6"/>
  <c r="AB91" i="6"/>
  <c r="AB107" i="6"/>
  <c r="AB123" i="6"/>
  <c r="AB139" i="6"/>
  <c r="AB155" i="6"/>
  <c r="AB171" i="6"/>
  <c r="AB40" i="6"/>
  <c r="AB12" i="6"/>
  <c r="AB28" i="6"/>
  <c r="AB44" i="6"/>
  <c r="AB60" i="6"/>
  <c r="AB76" i="6"/>
  <c r="AB92" i="6"/>
  <c r="AB108" i="6"/>
  <c r="AB124" i="6"/>
  <c r="AB140" i="6"/>
  <c r="AB156" i="6"/>
  <c r="AB172" i="6"/>
  <c r="AB167" i="6"/>
  <c r="AB120" i="6"/>
  <c r="AB13" i="6"/>
  <c r="AB29" i="6"/>
  <c r="AB45" i="6"/>
  <c r="AB61" i="6"/>
  <c r="AB77" i="6"/>
  <c r="AB93" i="6"/>
  <c r="AB109" i="6"/>
  <c r="AB125" i="6"/>
  <c r="AB141" i="6"/>
  <c r="AB157" i="6"/>
  <c r="AB173" i="6"/>
  <c r="AB14" i="6"/>
  <c r="AB30" i="6"/>
  <c r="AB46" i="6"/>
  <c r="AB62" i="6"/>
  <c r="AB78" i="6"/>
  <c r="AB94" i="6"/>
  <c r="AB110" i="6"/>
  <c r="AB126" i="6"/>
  <c r="AB142" i="6"/>
  <c r="AB158" i="6"/>
  <c r="AB174" i="6"/>
  <c r="AB183" i="6"/>
  <c r="AB184" i="6"/>
  <c r="AB15" i="6"/>
  <c r="AB31" i="6"/>
  <c r="AB47" i="6"/>
  <c r="AB63" i="6"/>
  <c r="AB79" i="6"/>
  <c r="AB95" i="6"/>
  <c r="AB111" i="6"/>
  <c r="AB127" i="6"/>
  <c r="AB143" i="6"/>
  <c r="AB159" i="6"/>
  <c r="AB175" i="6"/>
  <c r="AB16" i="6"/>
  <c r="AB32" i="6"/>
  <c r="AB48" i="6"/>
  <c r="AB64" i="6"/>
  <c r="AB80" i="6"/>
  <c r="AB96" i="6"/>
  <c r="AB112" i="6"/>
  <c r="AB128" i="6"/>
  <c r="AB144" i="6"/>
  <c r="AB160" i="6"/>
  <c r="AB176" i="6"/>
  <c r="AB56" i="6"/>
  <c r="AB17" i="6"/>
  <c r="AB33" i="6"/>
  <c r="AB49" i="6"/>
  <c r="AB65" i="6"/>
  <c r="AB81" i="6"/>
  <c r="AB97" i="6"/>
  <c r="AB113" i="6"/>
  <c r="AB129" i="6"/>
  <c r="AB145" i="6"/>
  <c r="AB161" i="6"/>
  <c r="AB177" i="6"/>
  <c r="AB18" i="6"/>
  <c r="AB34" i="6"/>
  <c r="AB50" i="6"/>
  <c r="AB66" i="6"/>
  <c r="AB82" i="6"/>
  <c r="AB98" i="6"/>
  <c r="AB114" i="6"/>
  <c r="AB130" i="6"/>
  <c r="AB146" i="6"/>
  <c r="AB162" i="6"/>
  <c r="AB178" i="6"/>
  <c r="AB104" i="6"/>
  <c r="AB19" i="6"/>
  <c r="AB35" i="6"/>
  <c r="AB51" i="6"/>
  <c r="AB67" i="6"/>
  <c r="AB83" i="6"/>
  <c r="AB99" i="6"/>
  <c r="AB115" i="6"/>
  <c r="AB131" i="6"/>
  <c r="AB147" i="6"/>
  <c r="AB163" i="6"/>
  <c r="AB179" i="6"/>
  <c r="AB20" i="6"/>
  <c r="AB36" i="6"/>
  <c r="AB52" i="6"/>
  <c r="AB68" i="6"/>
  <c r="AB84" i="6"/>
  <c r="AB100" i="6"/>
  <c r="AB116" i="6"/>
  <c r="AB132" i="6"/>
  <c r="AB148" i="6"/>
  <c r="AB164" i="6"/>
  <c r="AB180" i="6"/>
  <c r="AB23" i="6"/>
  <c r="AB88" i="6"/>
  <c r="AB168" i="6"/>
  <c r="AB21" i="6"/>
  <c r="AB37" i="6"/>
  <c r="AB53" i="6"/>
  <c r="AB69" i="6"/>
  <c r="AB85" i="6"/>
  <c r="AB101" i="6"/>
  <c r="AB117" i="6"/>
  <c r="AB133" i="6"/>
  <c r="AB149" i="6"/>
  <c r="AB165" i="6"/>
  <c r="AB181" i="6"/>
  <c r="AB55" i="6"/>
  <c r="AB136" i="6"/>
  <c r="AB22" i="6"/>
  <c r="AB38" i="6"/>
  <c r="AB54" i="6"/>
  <c r="AB70" i="6"/>
  <c r="AB86" i="6"/>
  <c r="AB102" i="6"/>
  <c r="AB118" i="6"/>
  <c r="AB134" i="6"/>
  <c r="AB150" i="6"/>
  <c r="AB166" i="6"/>
  <c r="AB182" i="6"/>
  <c r="AB71" i="6"/>
  <c r="AB39" i="6"/>
  <c r="AB87" i="6"/>
  <c r="AB103" i="6"/>
  <c r="AB119" i="6"/>
  <c r="AB135" i="6"/>
  <c r="AB151" i="6"/>
  <c r="AB72" i="6"/>
  <c r="AB152" i="6"/>
  <c r="V25" i="6"/>
  <c r="V41" i="6"/>
  <c r="V57" i="6"/>
  <c r="V73" i="6"/>
  <c r="V89" i="6"/>
  <c r="V105" i="6"/>
  <c r="V121" i="6"/>
  <c r="V137" i="6"/>
  <c r="V153" i="6"/>
  <c r="V169" i="6"/>
  <c r="V185" i="6"/>
  <c r="V76" i="6"/>
  <c r="V56" i="6"/>
  <c r="V10" i="6"/>
  <c r="V26" i="6"/>
  <c r="V42" i="6"/>
  <c r="V58" i="6"/>
  <c r="V74" i="6"/>
  <c r="V90" i="6"/>
  <c r="V106" i="6"/>
  <c r="V122" i="6"/>
  <c r="V138" i="6"/>
  <c r="V154" i="6"/>
  <c r="V170" i="6"/>
  <c r="V186" i="6"/>
  <c r="V92" i="6"/>
  <c r="V11" i="6"/>
  <c r="V27" i="6"/>
  <c r="V43" i="6"/>
  <c r="V59" i="6"/>
  <c r="V75" i="6"/>
  <c r="V91" i="6"/>
  <c r="V107" i="6"/>
  <c r="V123" i="6"/>
  <c r="V139" i="6"/>
  <c r="V155" i="6"/>
  <c r="V171" i="6"/>
  <c r="V172" i="6"/>
  <c r="V88" i="6"/>
  <c r="V12" i="6"/>
  <c r="V28" i="6"/>
  <c r="V44" i="6"/>
  <c r="V60" i="6"/>
  <c r="V108" i="6"/>
  <c r="V124" i="6"/>
  <c r="V140" i="6"/>
  <c r="V156" i="6"/>
  <c r="V152" i="6"/>
  <c r="V13" i="6"/>
  <c r="V29" i="6"/>
  <c r="V45" i="6"/>
  <c r="V61" i="6"/>
  <c r="V77" i="6"/>
  <c r="V93" i="6"/>
  <c r="V109" i="6"/>
  <c r="V125" i="6"/>
  <c r="V141" i="6"/>
  <c r="V157" i="6"/>
  <c r="V173" i="6"/>
  <c r="V183" i="6"/>
  <c r="V40" i="6"/>
  <c r="V120" i="6"/>
  <c r="V184" i="6"/>
  <c r="V14" i="6"/>
  <c r="V30" i="6"/>
  <c r="V46" i="6"/>
  <c r="V62" i="6"/>
  <c r="V78" i="6"/>
  <c r="V94" i="6"/>
  <c r="V110" i="6"/>
  <c r="V126" i="6"/>
  <c r="V142" i="6"/>
  <c r="V158" i="6"/>
  <c r="V174" i="6"/>
  <c r="V104" i="6"/>
  <c r="V15" i="6"/>
  <c r="V31" i="6"/>
  <c r="V47" i="6"/>
  <c r="V63" i="6"/>
  <c r="V79" i="6"/>
  <c r="V95" i="6"/>
  <c r="V111" i="6"/>
  <c r="V127" i="6"/>
  <c r="V143" i="6"/>
  <c r="V159" i="6"/>
  <c r="V175" i="6"/>
  <c r="V16" i="6"/>
  <c r="V32" i="6"/>
  <c r="V48" i="6"/>
  <c r="V64" i="6"/>
  <c r="V80" i="6"/>
  <c r="V96" i="6"/>
  <c r="V112" i="6"/>
  <c r="V128" i="6"/>
  <c r="V144" i="6"/>
  <c r="V160" i="6"/>
  <c r="V176" i="6"/>
  <c r="V17" i="6"/>
  <c r="V33" i="6"/>
  <c r="V49" i="6"/>
  <c r="V65" i="6"/>
  <c r="V81" i="6"/>
  <c r="V97" i="6"/>
  <c r="V113" i="6"/>
  <c r="V129" i="6"/>
  <c r="V145" i="6"/>
  <c r="V161" i="6"/>
  <c r="V177" i="6"/>
  <c r="V72" i="6"/>
  <c r="V18" i="6"/>
  <c r="V34" i="6"/>
  <c r="V50" i="6"/>
  <c r="V66" i="6"/>
  <c r="V82" i="6"/>
  <c r="V98" i="6"/>
  <c r="V114" i="6"/>
  <c r="V130" i="6"/>
  <c r="V146" i="6"/>
  <c r="V162" i="6"/>
  <c r="V178" i="6"/>
  <c r="V24" i="6"/>
  <c r="V19" i="6"/>
  <c r="V35" i="6"/>
  <c r="V51" i="6"/>
  <c r="V67" i="6"/>
  <c r="V83" i="6"/>
  <c r="V99" i="6"/>
  <c r="V115" i="6"/>
  <c r="V131" i="6"/>
  <c r="V147" i="6"/>
  <c r="V163" i="6"/>
  <c r="V179" i="6"/>
  <c r="V39" i="6"/>
  <c r="V87" i="6"/>
  <c r="V119" i="6"/>
  <c r="V136" i="6"/>
  <c r="V20" i="6"/>
  <c r="V36" i="6"/>
  <c r="V52" i="6"/>
  <c r="V68" i="6"/>
  <c r="V84" i="6"/>
  <c r="V100" i="6"/>
  <c r="V116" i="6"/>
  <c r="V132" i="6"/>
  <c r="V148" i="6"/>
  <c r="V164" i="6"/>
  <c r="V180" i="6"/>
  <c r="V103" i="6"/>
  <c r="V167" i="6"/>
  <c r="V21" i="6"/>
  <c r="V37" i="6"/>
  <c r="V53" i="6"/>
  <c r="V69" i="6"/>
  <c r="V85" i="6"/>
  <c r="V101" i="6"/>
  <c r="V117" i="6"/>
  <c r="V133" i="6"/>
  <c r="V149" i="6"/>
  <c r="V165" i="6"/>
  <c r="V181" i="6"/>
  <c r="V23" i="6"/>
  <c r="V71" i="6"/>
  <c r="V135" i="6"/>
  <c r="V22" i="6"/>
  <c r="V38" i="6"/>
  <c r="V54" i="6"/>
  <c r="V70" i="6"/>
  <c r="V86" i="6"/>
  <c r="V102" i="6"/>
  <c r="V118" i="6"/>
  <c r="V134" i="6"/>
  <c r="V150" i="6"/>
  <c r="V166" i="6"/>
  <c r="V182" i="6"/>
  <c r="V55" i="6"/>
  <c r="V151" i="6"/>
  <c r="V168" i="6"/>
  <c r="P25" i="6"/>
  <c r="P41" i="6"/>
  <c r="P57" i="6"/>
  <c r="P73" i="6"/>
  <c r="P89" i="6"/>
  <c r="P105" i="6"/>
  <c r="P121" i="6"/>
  <c r="P137" i="6"/>
  <c r="P153" i="6"/>
  <c r="P169" i="6"/>
  <c r="P185" i="6"/>
  <c r="P133" i="6"/>
  <c r="P10" i="6"/>
  <c r="P26" i="6"/>
  <c r="P42" i="6"/>
  <c r="P58" i="6"/>
  <c r="P74" i="6"/>
  <c r="P90" i="6"/>
  <c r="P106" i="6"/>
  <c r="P122" i="6"/>
  <c r="P138" i="6"/>
  <c r="P154" i="6"/>
  <c r="P170" i="6"/>
  <c r="P186" i="6"/>
  <c r="P69" i="6"/>
  <c r="P11" i="6"/>
  <c r="P27" i="6"/>
  <c r="P43" i="6"/>
  <c r="P59" i="6"/>
  <c r="P75" i="6"/>
  <c r="P91" i="6"/>
  <c r="P107" i="6"/>
  <c r="P123" i="6"/>
  <c r="P139" i="6"/>
  <c r="P155" i="6"/>
  <c r="P171" i="6"/>
  <c r="P117" i="6"/>
  <c r="P12" i="6"/>
  <c r="P28" i="6"/>
  <c r="P44" i="6"/>
  <c r="P60" i="6"/>
  <c r="P76" i="6"/>
  <c r="P92" i="6"/>
  <c r="P108" i="6"/>
  <c r="P124" i="6"/>
  <c r="P140" i="6"/>
  <c r="P156" i="6"/>
  <c r="P172" i="6"/>
  <c r="P85" i="6"/>
  <c r="P13" i="6"/>
  <c r="P29" i="6"/>
  <c r="P45" i="6"/>
  <c r="P61" i="6"/>
  <c r="P77" i="6"/>
  <c r="P93" i="6"/>
  <c r="P109" i="6"/>
  <c r="P125" i="6"/>
  <c r="P141" i="6"/>
  <c r="P157" i="6"/>
  <c r="P173" i="6"/>
  <c r="P53" i="6"/>
  <c r="P14" i="6"/>
  <c r="P30" i="6"/>
  <c r="P46" i="6"/>
  <c r="P62" i="6"/>
  <c r="P78" i="6"/>
  <c r="P94" i="6"/>
  <c r="P110" i="6"/>
  <c r="P126" i="6"/>
  <c r="P142" i="6"/>
  <c r="P158" i="6"/>
  <c r="P174" i="6"/>
  <c r="P101" i="6"/>
  <c r="P15" i="6"/>
  <c r="P31" i="6"/>
  <c r="P47" i="6"/>
  <c r="P63" i="6"/>
  <c r="P79" i="6"/>
  <c r="P95" i="6"/>
  <c r="P111" i="6"/>
  <c r="P127" i="6"/>
  <c r="P143" i="6"/>
  <c r="P159" i="6"/>
  <c r="P175" i="6"/>
  <c r="P149" i="6"/>
  <c r="P16" i="6"/>
  <c r="P32" i="6"/>
  <c r="P48" i="6"/>
  <c r="P64" i="6"/>
  <c r="P80" i="6"/>
  <c r="P96" i="6"/>
  <c r="P112" i="6"/>
  <c r="P128" i="6"/>
  <c r="P144" i="6"/>
  <c r="P160" i="6"/>
  <c r="P176" i="6"/>
  <c r="P21" i="6"/>
  <c r="P17" i="6"/>
  <c r="P33" i="6"/>
  <c r="P49" i="6"/>
  <c r="P65" i="6"/>
  <c r="P81" i="6"/>
  <c r="P97" i="6"/>
  <c r="P113" i="6"/>
  <c r="P129" i="6"/>
  <c r="P145" i="6"/>
  <c r="P161" i="6"/>
  <c r="P177" i="6"/>
  <c r="P18" i="6"/>
  <c r="P34" i="6"/>
  <c r="P50" i="6"/>
  <c r="P66" i="6"/>
  <c r="P82" i="6"/>
  <c r="P98" i="6"/>
  <c r="P114" i="6"/>
  <c r="P130" i="6"/>
  <c r="P146" i="6"/>
  <c r="P162" i="6"/>
  <c r="P178" i="6"/>
  <c r="P19" i="6"/>
  <c r="P35" i="6"/>
  <c r="P51" i="6"/>
  <c r="P67" i="6"/>
  <c r="P83" i="6"/>
  <c r="P99" i="6"/>
  <c r="P115" i="6"/>
  <c r="P131" i="6"/>
  <c r="P147" i="6"/>
  <c r="P163" i="6"/>
  <c r="P179" i="6"/>
  <c r="P37" i="6"/>
  <c r="P181" i="6"/>
  <c r="P20" i="6"/>
  <c r="P36" i="6"/>
  <c r="P52" i="6"/>
  <c r="P68" i="6"/>
  <c r="P84" i="6"/>
  <c r="P100" i="6"/>
  <c r="P116" i="6"/>
  <c r="P132" i="6"/>
  <c r="P148" i="6"/>
  <c r="P164" i="6"/>
  <c r="P180" i="6"/>
  <c r="P165" i="6"/>
  <c r="P22" i="6"/>
  <c r="P38" i="6"/>
  <c r="P54" i="6"/>
  <c r="P70" i="6"/>
  <c r="P86" i="6"/>
  <c r="P102" i="6"/>
  <c r="P118" i="6"/>
  <c r="P134" i="6"/>
  <c r="P150" i="6"/>
  <c r="P166" i="6"/>
  <c r="P182" i="6"/>
  <c r="P23" i="6"/>
  <c r="P39" i="6"/>
  <c r="P55" i="6"/>
  <c r="P71" i="6"/>
  <c r="P87" i="6"/>
  <c r="P103" i="6"/>
  <c r="P119" i="6"/>
  <c r="P135" i="6"/>
  <c r="P151" i="6"/>
  <c r="P167" i="6"/>
  <c r="P183" i="6"/>
  <c r="P24" i="6"/>
  <c r="P40" i="6"/>
  <c r="P56" i="6"/>
  <c r="P72" i="6"/>
  <c r="P88" i="6"/>
  <c r="P104" i="6"/>
  <c r="P120" i="6"/>
  <c r="P136" i="6"/>
  <c r="P152" i="6"/>
  <c r="P168" i="6"/>
  <c r="P184" i="6"/>
  <c r="J91" i="6"/>
  <c r="J187" i="6" s="1"/>
  <c r="J189" i="6" s="1"/>
  <c r="J191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00000000-0006-0000-0000-000001000000}">
      <text>
        <r>
          <rPr>
            <sz val="8"/>
            <color indexed="81"/>
            <rFont val="Tahoma"/>
            <family val="2"/>
          </rPr>
          <t>DM_4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FA26A876-BC64-44B0-A0A8-AC1D7E754C81}">
      <text>
        <r>
          <rPr>
            <sz val="8"/>
            <color indexed="81"/>
            <rFont val="Tahoma"/>
            <family val="2"/>
          </rPr>
          <t>SM_4</t>
        </r>
      </text>
    </comment>
  </commentList>
</comments>
</file>

<file path=xl/sharedStrings.xml><?xml version="1.0" encoding="utf-8"?>
<sst xmlns="http://schemas.openxmlformats.org/spreadsheetml/2006/main" count="658" uniqueCount="344">
  <si>
    <t>00.</t>
  </si>
  <si>
    <t>ALGEMENE BEPALINGEN</t>
  </si>
  <si>
    <t>00.10.</t>
  </si>
  <si>
    <t>projectgegevens</t>
  </si>
  <si>
    <t>00.20.</t>
  </si>
  <si>
    <t>ontwerpteam</t>
  </si>
  <si>
    <t>00.21.</t>
  </si>
  <si>
    <t>ontwerpteam - architecturaal ontwerp</t>
  </si>
  <si>
    <t>00.23.</t>
  </si>
  <si>
    <t>ontwerpteam - studie technieken</t>
  </si>
  <si>
    <t>00.24.</t>
  </si>
  <si>
    <t>veiligheidscoördinator</t>
  </si>
  <si>
    <t>01.</t>
  </si>
  <si>
    <t>AANNEMINGSMODALITEITEN</t>
  </si>
  <si>
    <t>01.00.</t>
  </si>
  <si>
    <t>aannemingsmodaliteiten - algemeen</t>
  </si>
  <si>
    <t>01.01.</t>
  </si>
  <si>
    <t>aannemingsmodaliteiten – bestek</t>
  </si>
  <si>
    <t>PM</t>
  </si>
  <si>
    <t>01.02.</t>
  </si>
  <si>
    <t>aannemingsmodaliteiten – voorafgaand plaatsbezoek</t>
  </si>
  <si>
    <t>01.03.</t>
  </si>
  <si>
    <t>aannemingsmodaliteiten – burgerlijke aansprakelijkheid</t>
  </si>
  <si>
    <t>01.04.</t>
  </si>
  <si>
    <t>aannemingsmodaliteiten – volledigheid van inschrijving</t>
  </si>
  <si>
    <t>01.05.</t>
  </si>
  <si>
    <t>aannemingsmodaliteiten – onderaanneming</t>
  </si>
  <si>
    <t>01.06.</t>
  </si>
  <si>
    <t>aannemingsmodaliteiten – verrekeningen</t>
  </si>
  <si>
    <t>01.08.</t>
  </si>
  <si>
    <t>aannemingsmodaliteiten – materialenlijst</t>
  </si>
  <si>
    <t>01.20.</t>
  </si>
  <si>
    <t>werfcoördinatie – algemeen</t>
  </si>
  <si>
    <t>01.21.</t>
  </si>
  <si>
    <t>werfcoördinatie – planning van de werken</t>
  </si>
  <si>
    <t>01.22.</t>
  </si>
  <si>
    <t>werfcoördinatie – werfleiding en controle</t>
  </si>
  <si>
    <t>01.23.</t>
  </si>
  <si>
    <t>werfcoördinatie – werfvergaderingen</t>
  </si>
  <si>
    <t>01.25.</t>
  </si>
  <si>
    <t>werfcoördinatie – as-builtdossier</t>
  </si>
  <si>
    <t>01.30.</t>
  </si>
  <si>
    <t>werfcondities – algemeen</t>
  </si>
  <si>
    <t>01.31.</t>
  </si>
  <si>
    <t>werfcondities – orde en netheid</t>
  </si>
  <si>
    <t>01.32.</t>
  </si>
  <si>
    <t>werfcondities – geluids- en stofhinder</t>
  </si>
  <si>
    <t>01.33.</t>
  </si>
  <si>
    <t>werfcondities – nazorg</t>
  </si>
  <si>
    <t>01.40.</t>
  </si>
  <si>
    <t>veiligheidsvoorschriften – algemeen</t>
  </si>
  <si>
    <t>SOG</t>
  </si>
  <si>
    <t>02.</t>
  </si>
  <si>
    <t>BOUWPLAATSVOORZIENINGEN</t>
  </si>
  <si>
    <t>02.00.</t>
  </si>
  <si>
    <t>bouwplaatsvoorzieningen - algemeen</t>
  </si>
  <si>
    <t>02.10.</t>
  </si>
  <si>
    <t>beschermingswerken – algemeen</t>
  </si>
  <si>
    <t>02.11.</t>
  </si>
  <si>
    <t>beschermingwerken – openbare weg</t>
  </si>
  <si>
    <t>02.80.</t>
  </si>
  <si>
    <t>arbeidsmiddelen – algemeen</t>
  </si>
  <si>
    <t>02.81.</t>
  </si>
  <si>
    <t>arbeidsmiddelen – werken op hoogte</t>
  </si>
  <si>
    <t>02.81.10.</t>
  </si>
  <si>
    <t>arbeidsmiddelen – werken op hoogte/ladders</t>
  </si>
  <si>
    <t>02.82.</t>
  </si>
  <si>
    <t>arbeidsmiddelen – hijsen en heffen van lasten</t>
  </si>
  <si>
    <t>03.</t>
  </si>
  <si>
    <t>AFBRAAKWERKEN</t>
  </si>
  <si>
    <t>03.00.</t>
  </si>
  <si>
    <t>afbraakwerken – algemeen</t>
  </si>
  <si>
    <t>03.30.</t>
  </si>
  <si>
    <t>afbraak dakelementen – algemeen</t>
  </si>
  <si>
    <t>03.31.</t>
  </si>
  <si>
    <t>afbraak dakelementen – hellend dak</t>
  </si>
  <si>
    <t>03.31.20.</t>
  </si>
  <si>
    <t>afbraak dakelementen – hellend dak/volledige dakopbouw thv dakkapellen</t>
  </si>
  <si>
    <t>FH</t>
  </si>
  <si>
    <t>m²</t>
  </si>
  <si>
    <t>04.</t>
  </si>
  <si>
    <t>GEBOUWPRESTATIES</t>
  </si>
  <si>
    <t>04.00.</t>
  </si>
  <si>
    <t>gebouwprestaties - algemeen</t>
  </si>
  <si>
    <t>04.20.</t>
  </si>
  <si>
    <t>luchtdichtheid - algemeen</t>
  </si>
  <si>
    <t>04.30.</t>
  </si>
  <si>
    <t>akoestiek - algemeen</t>
  </si>
  <si>
    <t>04.40.</t>
  </si>
  <si>
    <t>brandveiligheid - algemeen</t>
  </si>
  <si>
    <t>30.</t>
  </si>
  <si>
    <t>DAKOPBOUW HELLEND DAK</t>
  </si>
  <si>
    <t>30.00.</t>
  </si>
  <si>
    <t>dakopbouw hellend dak - algemeen</t>
  </si>
  <si>
    <t>30.01.</t>
  </si>
  <si>
    <t>dakopbouw hellend dak - stabiliteitsstudie</t>
  </si>
  <si>
    <t>30.10.</t>
  </si>
  <si>
    <t>houten dakstructuur – algemeen</t>
  </si>
  <si>
    <t>30.12.</t>
  </si>
  <si>
    <t>houten dakstructuur - gordingen</t>
  </si>
  <si>
    <t>30.12.10.</t>
  </si>
  <si>
    <t>FH|</t>
  </si>
  <si>
    <t>st</t>
  </si>
  <si>
    <t>30.13.</t>
  </si>
  <si>
    <t>houten dakstructuur – keperwerk hellende daken</t>
  </si>
  <si>
    <t>m2</t>
  </si>
  <si>
    <t>30.14.</t>
  </si>
  <si>
    <t>houten dakstructuur – keperwerk zijwanden</t>
  </si>
  <si>
    <t>30.20.</t>
  </si>
  <si>
    <t>onderdak - algemeen</t>
  </si>
  <si>
    <t>30.21.</t>
  </si>
  <si>
    <t>onderdak - soepele membranen</t>
  </si>
  <si>
    <t>30.30.</t>
  </si>
  <si>
    <t>tengel- &amp; panlatten – algemeen</t>
  </si>
  <si>
    <t>31.</t>
  </si>
  <si>
    <t>THERMISCHE ISOLATIE HELLEND DAK</t>
  </si>
  <si>
    <t>31.00.</t>
  </si>
  <si>
    <t>thermische isolatie hellend dak - algemeen</t>
  </si>
  <si>
    <t>31.10.</t>
  </si>
  <si>
    <t>31.11.</t>
  </si>
  <si>
    <t>31.11.10.</t>
  </si>
  <si>
    <t>31.11.20.</t>
  </si>
  <si>
    <t>31.40.</t>
  </si>
  <si>
    <t>binnenfolie - algemeen</t>
  </si>
  <si>
    <t>31.42.</t>
  </si>
  <si>
    <t>binnenfolie – dampscherm (enkel levering)</t>
  </si>
  <si>
    <t>32.</t>
  </si>
  <si>
    <t>DAKBEDEKKING HELLEND DAK</t>
  </si>
  <si>
    <t>32.00.</t>
  </si>
  <si>
    <t>dakbedekking hellend dak - algemeen</t>
  </si>
  <si>
    <t>32.01.</t>
  </si>
  <si>
    <t>dakbedekking hellend dak - prestaties</t>
  </si>
  <si>
    <t>32.10.</t>
  </si>
  <si>
    <t>pannen - algemeen</t>
  </si>
  <si>
    <t>32.11.</t>
  </si>
  <si>
    <t>pannen - gebakken aarde (recup)</t>
  </si>
  <si>
    <t>32.11.10.</t>
  </si>
  <si>
    <t>pannen - gebakken aarde/dakvlak</t>
  </si>
  <si>
    <t>32.11.20.</t>
  </si>
  <si>
    <t>pannen - gebakken aarde/vormstukken - zijpannen</t>
  </si>
  <si>
    <t>m</t>
  </si>
  <si>
    <t>32.11.30.</t>
  </si>
  <si>
    <t>pannen - gebakken aarde/toebehoren - dakdoorvoeren</t>
  </si>
  <si>
    <t>37.</t>
  </si>
  <si>
    <t>DAKRANDEN EN KROONLIJSTEN</t>
  </si>
  <si>
    <t>37.00.</t>
  </si>
  <si>
    <t>dakranden en kroonlijsten - algemeen</t>
  </si>
  <si>
    <t>37.10.</t>
  </si>
  <si>
    <t>slabben, loketten en aansluitbanden - algemeen</t>
  </si>
  <si>
    <t>37.11.</t>
  </si>
  <si>
    <t>slabben, loketten en aansluitbanden - metaal</t>
  </si>
  <si>
    <t>37.11.10.</t>
  </si>
  <si>
    <t>slabben, loketten en aansluitbanden - metaal/lood</t>
  </si>
  <si>
    <t>38.</t>
  </si>
  <si>
    <t>DAKWATERAFVOER</t>
  </si>
  <si>
    <t>38.00.</t>
  </si>
  <si>
    <t>dakwaterafvoer - algemeen</t>
  </si>
  <si>
    <t>38.20.</t>
  </si>
  <si>
    <t>hanggoten - algemeen</t>
  </si>
  <si>
    <t>38.22.</t>
  </si>
  <si>
    <t>hanggoten – metaal</t>
  </si>
  <si>
    <t>38.22.10.</t>
  </si>
  <si>
    <t>hanggoten – metaal/zink</t>
  </si>
  <si>
    <t>38.30.</t>
  </si>
  <si>
    <t>afvoerpijpen - algemeen</t>
  </si>
  <si>
    <t>38.32.</t>
  </si>
  <si>
    <t>afvoerpijpen - metaal</t>
  </si>
  <si>
    <t>38.32.10.</t>
  </si>
  <si>
    <t>afvoerpijpen – metaal/zink</t>
  </si>
  <si>
    <t>38.40.</t>
  </si>
  <si>
    <t>eindstukken - algemeen</t>
  </si>
  <si>
    <t>38.42.</t>
  </si>
  <si>
    <t>eindstukken - behandeld gietijzer</t>
  </si>
  <si>
    <t>38.50.</t>
  </si>
  <si>
    <t>toebehoren - algemeen</t>
  </si>
  <si>
    <t>38.52.</t>
  </si>
  <si>
    <t>toebehoren - draad- en bolroosters</t>
  </si>
  <si>
    <t>42.</t>
  </si>
  <si>
    <t>GEVELBEKLEDINGEN</t>
  </si>
  <si>
    <t>42.00.</t>
  </si>
  <si>
    <t>gevelbekledingen - algemeen</t>
  </si>
  <si>
    <t>42.10.</t>
  </si>
  <si>
    <t>regelstructuur – algemeen</t>
  </si>
  <si>
    <t>42.11.</t>
  </si>
  <si>
    <t>regelstructuur - hout</t>
  </si>
  <si>
    <t>42.30.</t>
  </si>
  <si>
    <t>buitenfolie – algemeen</t>
  </si>
  <si>
    <t>42.31.</t>
  </si>
  <si>
    <t>buitenfolie – gevelfolie</t>
  </si>
  <si>
    <t>42.40.</t>
  </si>
  <si>
    <t>bekledingspanelen - algemeen</t>
  </si>
  <si>
    <t>42.41.</t>
  </si>
  <si>
    <t>bekledingspanelen – HPL</t>
  </si>
  <si>
    <t>51.</t>
  </si>
  <si>
    <t>BINNENPLAATAFWERKINGEN</t>
  </si>
  <si>
    <t>51.00.</t>
  </si>
  <si>
    <t>binnenplaatafwerkingen - algemeen</t>
  </si>
  <si>
    <t>51.10.</t>
  </si>
  <si>
    <t>lichte scheidingswanden - algemeen</t>
  </si>
  <si>
    <t>51.11.</t>
  </si>
  <si>
    <t>lichte scheidingswanden – gipskartonplaten met achterliggende OSB (enkel levering)</t>
  </si>
  <si>
    <t>51.11.10</t>
  </si>
  <si>
    <t>lichte scheidingswanden – gipskartonplaten met achterliggende OSB (enkel levering) – type A</t>
  </si>
  <si>
    <t>51.11.20</t>
  </si>
  <si>
    <t>lichte scheidingswanden – gipskartonplaten met achterliggende OSB (enkel levering) – type F (Rf)</t>
  </si>
  <si>
    <t>51.11.30</t>
  </si>
  <si>
    <t>lichte scheidingswanden – gipskartonplaten met achterliggende OSB (enkel levering) – type H (Wr)</t>
  </si>
  <si>
    <t>51.21.</t>
  </si>
  <si>
    <t>voorzetwanden – gipskartonplaten (enkel levering)</t>
  </si>
  <si>
    <t>51.21.10.</t>
  </si>
  <si>
    <t>voorzetwanden – gipskartonplaten/op regelstructuur</t>
  </si>
  <si>
    <t>51.50.</t>
  </si>
  <si>
    <t>plafondafwerking – algemeen</t>
  </si>
  <si>
    <t>51.51.</t>
  </si>
  <si>
    <t>plafondafwerking – uitbekleding plafond (enkel levering!)</t>
  </si>
  <si>
    <t>51.51.10.</t>
  </si>
  <si>
    <t>plafondafwerking – uitbekleding plafond/gipskartonplaten</t>
  </si>
  <si>
    <t>51.60.</t>
  </si>
  <si>
    <t>51.70.</t>
  </si>
  <si>
    <t>uitbekleding sanitaire toestellen – algemeen</t>
  </si>
  <si>
    <t>51.71.</t>
  </si>
  <si>
    <t>uitbekleding sanitaire toestellen – te betegelen plaat (enkel levering)</t>
  </si>
  <si>
    <t>51.71.10.</t>
  </si>
  <si>
    <t>uitbekleding sanitaire toestellen – te betegelen plaat/gipskarton</t>
  </si>
  <si>
    <t>54.</t>
  </si>
  <si>
    <t>BINNENDEUREN en -RAMEN</t>
  </si>
  <si>
    <t>54.00.</t>
  </si>
  <si>
    <t>binnendeuren en -ramen - algemeen</t>
  </si>
  <si>
    <t>54.01.</t>
  </si>
  <si>
    <t>binnendeuren en -ramen – prestaties</t>
  </si>
  <si>
    <t>54.02.</t>
  </si>
  <si>
    <t>binnendeuren en -ramen – keuring en proeven</t>
  </si>
  <si>
    <t>54.03.</t>
  </si>
  <si>
    <t>binnendeuren en -ramen – proefopstelling</t>
  </si>
  <si>
    <t>54.10.</t>
  </si>
  <si>
    <t>deurkozijnen - algemeen</t>
  </si>
  <si>
    <t>54.11.</t>
  </si>
  <si>
    <t>deurkozijnen - hout</t>
  </si>
  <si>
    <t>54.11.10.</t>
  </si>
  <si>
    <t>deurkozijnen – hout/massief</t>
  </si>
  <si>
    <t>54.20.</t>
  </si>
  <si>
    <t>deurbladen - algemeen</t>
  </si>
  <si>
    <t>54.21.</t>
  </si>
  <si>
    <t>deurbladen - hout met holle kern</t>
  </si>
  <si>
    <t>54.21.20.</t>
  </si>
  <si>
    <t>deurbladen - hout met holle kern/tubespaan</t>
  </si>
  <si>
    <t>VH</t>
  </si>
  <si>
    <t>54.21.30.</t>
  </si>
  <si>
    <t>deurbladen – recuperatie deuren aangeleverd door bouwheer (enkel plaatsing)</t>
  </si>
  <si>
    <t>54.30.</t>
  </si>
  <si>
    <t>deurgehelen - algemeen</t>
  </si>
  <si>
    <t>54.31.</t>
  </si>
  <si>
    <t>deurgehelen – kozijnen hout</t>
  </si>
  <si>
    <t>54.31.10.</t>
  </si>
  <si>
    <t>deurgehelen – kozijnen hout/brandwerend</t>
  </si>
  <si>
    <t>54.60.</t>
  </si>
  <si>
    <t>hang- en sluitwerk - algemeen</t>
  </si>
  <si>
    <t>54.61.</t>
  </si>
  <si>
    <t>hang- en sluitwerk - scharnieren en paumellen</t>
  </si>
  <si>
    <t>54.61.10.</t>
  </si>
  <si>
    <t>hang- en sluitwerk - scharnieren en paumellen/aluminium of vernikkeld staal</t>
  </si>
  <si>
    <t>54.62.</t>
  </si>
  <si>
    <t>hang- en sluitwerk - deursloten</t>
  </si>
  <si>
    <t>54.62.20.</t>
  </si>
  <si>
    <t>hang- en sluitwerk – deursloten/veiligheidssloten</t>
  </si>
  <si>
    <t>54.62.40.</t>
  </si>
  <si>
    <t>hang- en sluitwerk – deursloten/kantschuiven</t>
  </si>
  <si>
    <t>54.62.50.</t>
  </si>
  <si>
    <t>hang- en sluitwerk – deursloten/panieksluitingen</t>
  </si>
  <si>
    <t>54.63.</t>
  </si>
  <si>
    <t>hang- en sluitwerk - deurkrukken</t>
  </si>
  <si>
    <t>54.63.10.</t>
  </si>
  <si>
    <t>hang- en sluitwerk – deurkrukken/aluminium</t>
  </si>
  <si>
    <t>54.65.</t>
  </si>
  <si>
    <t>hang- en sluitwerk - deurdrangers</t>
  </si>
  <si>
    <t>54.80.</t>
  </si>
  <si>
    <t>54.86.</t>
  </si>
  <si>
    <t>toebehoren - deurstoppen</t>
  </si>
  <si>
    <t>Totaal</t>
  </si>
  <si>
    <t>omschrijving</t>
  </si>
  <si>
    <t>aantal</t>
  </si>
  <si>
    <t>totaal</t>
  </si>
  <si>
    <t>lengte</t>
  </si>
  <si>
    <t>breedte</t>
  </si>
  <si>
    <t>stuks</t>
  </si>
  <si>
    <t>dossier</t>
  </si>
  <si>
    <t>WRJ22</t>
  </si>
  <si>
    <t>lot</t>
  </si>
  <si>
    <t>ontwerp</t>
  </si>
  <si>
    <t>Waasmunster_Jeugdlokalen</t>
  </si>
  <si>
    <t>bouwheer</t>
  </si>
  <si>
    <t>Gemeentebestuur Waasmunster</t>
  </si>
  <si>
    <t>Dakwerken &amp; Binnenschrijnwerk</t>
  </si>
  <si>
    <t>dakkapellen</t>
  </si>
  <si>
    <t>opp zijwanden kapel</t>
  </si>
  <si>
    <t>'31.11.10.</t>
  </si>
  <si>
    <t>'31.11.20.</t>
  </si>
  <si>
    <t>afvoeren</t>
  </si>
  <si>
    <t>deur</t>
  </si>
  <si>
    <t>dakkapêl</t>
  </si>
  <si>
    <t>hellende delen</t>
  </si>
  <si>
    <t>gv</t>
  </si>
  <si>
    <t>1ev</t>
  </si>
  <si>
    <t>Aannemer 1</t>
  </si>
  <si>
    <t>Aannemer 2</t>
  </si>
  <si>
    <t>Aannemer 3</t>
  </si>
  <si>
    <t>volgnr.</t>
  </si>
  <si>
    <t>art.</t>
  </si>
  <si>
    <t>eenheid</t>
  </si>
  <si>
    <t>hoev.</t>
  </si>
  <si>
    <t>hoev. 2</t>
  </si>
  <si>
    <t>eenh.pr.</t>
  </si>
  <si>
    <t>gemiddelde</t>
  </si>
  <si>
    <t>prijs</t>
  </si>
  <si>
    <t>afw. hoev.</t>
  </si>
  <si>
    <t>prijs 2</t>
  </si>
  <si>
    <t>% tov tot.</t>
  </si>
  <si>
    <t>% tov gem.</t>
  </si>
  <si>
    <t>Totaal €</t>
  </si>
  <si>
    <t>BTW</t>
  </si>
  <si>
    <t>Eindtotaal €</t>
  </si>
  <si>
    <t>Hoofdstuk 0</t>
  </si>
  <si>
    <t>Hoofdstuk 1</t>
  </si>
  <si>
    <t>Hoofdstuk 2</t>
  </si>
  <si>
    <t>Hoofdstuk 3</t>
  </si>
  <si>
    <t>Hoofdstuk 4</t>
  </si>
  <si>
    <t>Hoofdstuk 30</t>
  </si>
  <si>
    <t>Hoofdstuk 31</t>
  </si>
  <si>
    <t>Hoofdstuk 32</t>
  </si>
  <si>
    <t>Hoofdstuk 37</t>
  </si>
  <si>
    <t>Hoofdstuk 38</t>
  </si>
  <si>
    <t>Hoofdstuk 42</t>
  </si>
  <si>
    <t>Hoofdstuk 51</t>
  </si>
  <si>
    <t>Hoofdstuk 54</t>
  </si>
  <si>
    <t>houten dakstructuur - gordingen/massief hout (thv elke kape)</t>
  </si>
  <si>
    <t>isolatiedekens tussen dakstructuur – algemeen</t>
  </si>
  <si>
    <t>isolatiedekens tussen dakstructuur – MW (enkel levering)</t>
  </si>
  <si>
    <t>isolatiedekens tussen dakstructuur – MW/18 cm (enkel levering)</t>
  </si>
  <si>
    <t>isolatiedekens tussen wandstructuur– MW/15 cm (enkel levering)</t>
  </si>
  <si>
    <t>enkele</t>
  </si>
  <si>
    <t>dubbele</t>
  </si>
  <si>
    <t>EP</t>
  </si>
  <si>
    <t>deurbladen - HPL voor sanitair</t>
  </si>
  <si>
    <t>54.22.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</si>
</sst>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.00_ ;[Red]\-0.00\ "/>
    <numFmt numFmtId="165" formatCode="#,##0_._0_0_0;[Red]\-#,##0_._0_0_0"/>
    <numFmt numFmtId="166" formatCode="#,##0.0_0_0;[Red]\-#,##0.0_0_0"/>
    <numFmt numFmtId="167" formatCode="#,##0.00_0;[Red]\-#,##0.00_0"/>
    <numFmt numFmtId="168" formatCode="#,##0.000;[Red]\-#,##0.000"/>
    <numFmt numFmtId="169" formatCode="#,##0.00_ ;[Red]\-#,##0.00\ "/>
    <numFmt numFmtId="170" formatCode="0_ ;[Red]\-0\ "/>
    <numFmt numFmtId="171" formatCode="#,##0.00\ _€;[Red]\-#,##0.00\ _€;\ "/>
    <numFmt numFmtId="172" formatCode="#,##0.00;[Red]\-#,##0.00;&quot;incl.&quot;"/>
    <numFmt numFmtId="173" formatCode="0.0%;\-0.0%;&quot; &quot;"/>
    <numFmt numFmtId="174" formatCode="0.0%;\-0.0%"/>
  </numFmts>
  <fonts count="14">
    <font>
      <sz val="10"/>
      <name val="Calibri"/>
      <family val="2"/>
    </font>
    <font>
      <sz val="8"/>
      <color indexed="81"/>
      <name val="Tahoma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Calibri"/>
      <family val="2"/>
    </font>
    <font>
      <i/>
      <sz val="10"/>
      <name val="Calibri"/>
      <family val="2"/>
    </font>
    <font>
      <sz val="10"/>
      <color rgb="FF4F81BD"/>
      <name val="Calibri"/>
      <family val="2"/>
    </font>
    <font>
      <sz val="8"/>
      <name val="Verdana"/>
      <family val="2"/>
    </font>
    <font>
      <sz val="10"/>
      <name val="Prenton RP Pro Light"/>
      <family val="2"/>
    </font>
    <font>
      <sz val="8"/>
      <name val="Prenton RP Pro Light"/>
      <family val="2"/>
    </font>
    <font>
      <b/>
      <sz val="10"/>
      <name val="Prenton RP Pro Light"/>
      <family val="2"/>
    </font>
    <font>
      <b/>
      <sz val="9.75"/>
      <color rgb="FF0000FF"/>
      <name val="Prenton RP Pro Light"/>
      <family val="2"/>
    </font>
    <font>
      <sz val="10"/>
      <name val="Arial"/>
      <family val="2"/>
    </font>
    <font>
      <b/>
      <sz val="10"/>
      <color indexed="19"/>
      <name val="Prenton RP Pro Light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64">
    <xf numFmtId="0" fontId="0" fillId="0" borderId="0"/>
    <xf numFmtId="49" fontId="2" fillId="2" borderId="3"/>
    <xf numFmtId="0" fontId="2" fillId="0" borderId="3"/>
    <xf numFmtId="0" fontId="2" fillId="0" borderId="3"/>
    <xf numFmtId="0" fontId="2" fillId="0" borderId="3"/>
    <xf numFmtId="0" fontId="2" fillId="0" borderId="3"/>
    <xf numFmtId="0" fontId="2" fillId="0" borderId="3"/>
    <xf numFmtId="0" fontId="2" fillId="0" borderId="3"/>
    <xf numFmtId="0" fontId="2" fillId="0" borderId="3"/>
    <xf numFmtId="0" fontId="2" fillId="0" borderId="3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3" fillId="0" borderId="2"/>
    <xf numFmtId="0" fontId="3" fillId="0" borderId="2"/>
    <xf numFmtId="0" fontId="3" fillId="0" borderId="2"/>
    <xf numFmtId="0" fontId="3" fillId="0" borderId="2"/>
    <xf numFmtId="0" fontId="3" fillId="0" borderId="2"/>
    <xf numFmtId="0" fontId="3" fillId="0" borderId="2"/>
    <xf numFmtId="0" fontId="3" fillId="0" borderId="2"/>
    <xf numFmtId="0" fontId="3" fillId="0" borderId="2"/>
    <xf numFmtId="0" fontId="3" fillId="0" borderId="2"/>
    <xf numFmtId="0" fontId="3" fillId="0" borderId="0"/>
    <xf numFmtId="0" fontId="3" fillId="0" borderId="0"/>
    <xf numFmtId="0" fontId="3" fillId="0" borderId="0"/>
    <xf numFmtId="169" fontId="3" fillId="0" borderId="4"/>
    <xf numFmtId="169" fontId="3" fillId="0" borderId="0"/>
    <xf numFmtId="169" fontId="3" fillId="0" borderId="0"/>
    <xf numFmtId="0" fontId="3" fillId="0" borderId="0"/>
    <xf numFmtId="0" fontId="3" fillId="0" borderId="5"/>
    <xf numFmtId="0" fontId="6" fillId="0" borderId="0"/>
    <xf numFmtId="0" fontId="6" fillId="0" borderId="0"/>
    <xf numFmtId="0" fontId="6" fillId="0" borderId="0"/>
    <xf numFmtId="0" fontId="6" fillId="0" borderId="4"/>
    <xf numFmtId="0" fontId="6" fillId="0" borderId="0"/>
    <xf numFmtId="0" fontId="6" fillId="0" borderId="0"/>
    <xf numFmtId="0" fontId="6" fillId="0" borderId="0"/>
    <xf numFmtId="0" fontId="6" fillId="0" borderId="5"/>
    <xf numFmtId="0" fontId="2" fillId="0" borderId="1"/>
    <xf numFmtId="0" fontId="2" fillId="0" borderId="1"/>
    <xf numFmtId="0" fontId="2" fillId="0" borderId="1"/>
    <xf numFmtId="0" fontId="2" fillId="0" borderId="6"/>
    <xf numFmtId="0" fontId="2" fillId="0" borderId="3"/>
    <xf numFmtId="0" fontId="2" fillId="0" borderId="3"/>
    <xf numFmtId="0" fontId="2" fillId="0" borderId="3"/>
    <xf numFmtId="0" fontId="2" fillId="0" borderId="7"/>
    <xf numFmtId="165" fontId="3" fillId="0" borderId="0"/>
    <xf numFmtId="166" fontId="3" fillId="0" borderId="0"/>
    <xf numFmtId="167" fontId="3" fillId="0" borderId="0"/>
    <xf numFmtId="168" fontId="3" fillId="0" borderId="0"/>
    <xf numFmtId="165" fontId="2" fillId="0" borderId="3"/>
    <xf numFmtId="166" fontId="2" fillId="0" borderId="3"/>
    <xf numFmtId="167" fontId="2" fillId="0" borderId="3"/>
    <xf numFmtId="168" fontId="2" fillId="0" borderId="3"/>
    <xf numFmtId="0" fontId="7" fillId="0" borderId="0"/>
    <xf numFmtId="164" fontId="3" fillId="0" borderId="0"/>
    <xf numFmtId="171" fontId="12" fillId="11" borderId="0" applyFont="0" applyFill="0" applyBorder="0" applyAlignment="0" applyProtection="0"/>
    <xf numFmtId="172" fontId="12" fillId="0" borderId="0" applyFont="0" applyFill="0" applyBorder="0" applyAlignment="0" applyProtection="0"/>
  </cellStyleXfs>
  <cellXfs count="115">
    <xf numFmtId="0" fontId="0" fillId="0" borderId="0" xfId="0"/>
    <xf numFmtId="164" fontId="8" fillId="0" borderId="1" xfId="0" applyNumberFormat="1" applyFont="1" applyBorder="1"/>
    <xf numFmtId="164" fontId="8" fillId="0" borderId="0" xfId="0" applyNumberFormat="1" applyFont="1"/>
    <xf numFmtId="0" fontId="8" fillId="0" borderId="0" xfId="0" applyFont="1"/>
    <xf numFmtId="164" fontId="8" fillId="0" borderId="2" xfId="0" applyNumberFormat="1" applyFont="1" applyBorder="1"/>
    <xf numFmtId="49" fontId="10" fillId="2" borderId="3" xfId="1" quotePrefix="1" applyFont="1"/>
    <xf numFmtId="0" fontId="10" fillId="0" borderId="3" xfId="2" applyFont="1"/>
    <xf numFmtId="0" fontId="10" fillId="0" borderId="3" xfId="3" applyFont="1"/>
    <xf numFmtId="0" fontId="10" fillId="0" borderId="3" xfId="4" applyFont="1"/>
    <xf numFmtId="0" fontId="10" fillId="0" borderId="3" xfId="5" applyFont="1"/>
    <xf numFmtId="0" fontId="10" fillId="0" borderId="3" xfId="6" applyFont="1"/>
    <xf numFmtId="0" fontId="10" fillId="0" borderId="3" xfId="7" applyFont="1"/>
    <xf numFmtId="0" fontId="10" fillId="0" borderId="3" xfId="8" applyFont="1"/>
    <xf numFmtId="0" fontId="10" fillId="0" borderId="3" xfId="9" applyFont="1"/>
    <xf numFmtId="0" fontId="10" fillId="0" borderId="1" xfId="44" applyFont="1"/>
    <xf numFmtId="0" fontId="10" fillId="0" borderId="1" xfId="45" applyFont="1"/>
    <xf numFmtId="0" fontId="10" fillId="0" borderId="1" xfId="46" applyFont="1"/>
    <xf numFmtId="0" fontId="10" fillId="0" borderId="6" xfId="47" applyFont="1"/>
    <xf numFmtId="0" fontId="10" fillId="0" borderId="3" xfId="48" applyFont="1"/>
    <xf numFmtId="0" fontId="10" fillId="0" borderId="3" xfId="49" applyFont="1"/>
    <xf numFmtId="0" fontId="10" fillId="0" borderId="3" xfId="50" applyFont="1"/>
    <xf numFmtId="0" fontId="10" fillId="0" borderId="7" xfId="51" applyFont="1"/>
    <xf numFmtId="165" fontId="10" fillId="0" borderId="3" xfId="56" applyFont="1"/>
    <xf numFmtId="0" fontId="8" fillId="0" borderId="2" xfId="19" applyFont="1"/>
    <xf numFmtId="0" fontId="8" fillId="0" borderId="2" xfId="20" applyFont="1"/>
    <xf numFmtId="0" fontId="8" fillId="0" borderId="2" xfId="21" applyFont="1"/>
    <xf numFmtId="0" fontId="8" fillId="0" borderId="2" xfId="22" applyFont="1"/>
    <xf numFmtId="0" fontId="8" fillId="0" borderId="2" xfId="23" applyFont="1"/>
    <xf numFmtId="0" fontId="8" fillId="0" borderId="2" xfId="24" applyFont="1"/>
    <xf numFmtId="0" fontId="8" fillId="0" borderId="2" xfId="25" applyFont="1"/>
    <xf numFmtId="0" fontId="8" fillId="0" borderId="2" xfId="26" applyFont="1"/>
    <xf numFmtId="0" fontId="8" fillId="0" borderId="2" xfId="27" applyFont="1"/>
    <xf numFmtId="0" fontId="8" fillId="0" borderId="0" xfId="28" applyFont="1"/>
    <xf numFmtId="0" fontId="8" fillId="0" borderId="0" xfId="29" applyFont="1"/>
    <xf numFmtId="0" fontId="8" fillId="0" borderId="0" xfId="30" applyFont="1"/>
    <xf numFmtId="169" fontId="8" fillId="0" borderId="4" xfId="31" applyFont="1"/>
    <xf numFmtId="169" fontId="8" fillId="0" borderId="0" xfId="32" applyFont="1"/>
    <xf numFmtId="169" fontId="8" fillId="0" borderId="0" xfId="33" applyFont="1"/>
    <xf numFmtId="0" fontId="8" fillId="0" borderId="0" xfId="34" applyFont="1"/>
    <xf numFmtId="0" fontId="8" fillId="0" borderId="5" xfId="35" applyFont="1"/>
    <xf numFmtId="167" fontId="8" fillId="0" borderId="0" xfId="54" applyFont="1"/>
    <xf numFmtId="167" fontId="10" fillId="0" borderId="3" xfId="58" applyFont="1"/>
    <xf numFmtId="165" fontId="8" fillId="0" borderId="0" xfId="52" applyFont="1"/>
    <xf numFmtId="164" fontId="11" fillId="0" borderId="0" xfId="0" quotePrefix="1" applyNumberFormat="1" applyFont="1"/>
    <xf numFmtId="164" fontId="10" fillId="0" borderId="0" xfId="0" applyNumberFormat="1" applyFont="1"/>
    <xf numFmtId="164" fontId="11" fillId="0" borderId="0" xfId="0" applyNumberFormat="1" applyFont="1"/>
    <xf numFmtId="164" fontId="9" fillId="0" borderId="0" xfId="0" applyNumberFormat="1" applyFont="1"/>
    <xf numFmtId="16" fontId="8" fillId="0" borderId="5" xfId="35" applyNumberFormat="1" applyFont="1"/>
    <xf numFmtId="170" fontId="8" fillId="0" borderId="1" xfId="61" applyNumberFormat="1" applyFont="1" applyBorder="1"/>
    <xf numFmtId="164" fontId="8" fillId="0" borderId="1" xfId="61" applyFont="1" applyBorder="1"/>
    <xf numFmtId="164" fontId="8" fillId="0" borderId="0" xfId="61" applyFont="1"/>
    <xf numFmtId="0" fontId="8" fillId="0" borderId="0" xfId="61" applyNumberFormat="1" applyFont="1"/>
    <xf numFmtId="0" fontId="8" fillId="3" borderId="6" xfId="61" applyNumberFormat="1" applyFont="1" applyFill="1" applyBorder="1" applyAlignment="1">
      <alignment horizontal="centerContinuous"/>
    </xf>
    <xf numFmtId="0" fontId="8" fillId="3" borderId="3" xfId="61" applyNumberFormat="1" applyFont="1" applyFill="1" applyBorder="1" applyAlignment="1">
      <alignment horizontal="centerContinuous"/>
    </xf>
    <xf numFmtId="0" fontId="8" fillId="3" borderId="7" xfId="61" applyNumberFormat="1" applyFont="1" applyFill="1" applyBorder="1" applyAlignment="1">
      <alignment horizontal="centerContinuous"/>
    </xf>
    <xf numFmtId="0" fontId="8" fillId="4" borderId="3" xfId="61" applyNumberFormat="1" applyFont="1" applyFill="1" applyBorder="1" applyAlignment="1">
      <alignment horizontal="centerContinuous"/>
    </xf>
    <xf numFmtId="0" fontId="8" fillId="4" borderId="7" xfId="61" applyNumberFormat="1" applyFont="1" applyFill="1" applyBorder="1" applyAlignment="1">
      <alignment horizontal="centerContinuous"/>
    </xf>
    <xf numFmtId="0" fontId="8" fillId="5" borderId="3" xfId="61" applyNumberFormat="1" applyFont="1" applyFill="1" applyBorder="1" applyAlignment="1">
      <alignment horizontal="centerContinuous"/>
    </xf>
    <xf numFmtId="0" fontId="8" fillId="5" borderId="7" xfId="61" applyNumberFormat="1" applyFont="1" applyFill="1" applyBorder="1" applyAlignment="1">
      <alignment horizontal="centerContinuous"/>
    </xf>
    <xf numFmtId="170" fontId="8" fillId="6" borderId="8" xfId="61" applyNumberFormat="1" applyFont="1" applyFill="1" applyBorder="1" applyAlignment="1">
      <alignment horizontal="center" vertical="top"/>
    </xf>
    <xf numFmtId="164" fontId="8" fillId="6" borderId="8" xfId="61" applyFont="1" applyFill="1" applyBorder="1" applyAlignment="1">
      <alignment horizontal="center" vertical="top"/>
    </xf>
    <xf numFmtId="164" fontId="8" fillId="6" borderId="8" xfId="61" applyFont="1" applyFill="1" applyBorder="1" applyAlignment="1">
      <alignment vertical="top"/>
    </xf>
    <xf numFmtId="164" fontId="8" fillId="6" borderId="8" xfId="61" applyFont="1" applyFill="1" applyBorder="1" applyAlignment="1">
      <alignment horizontal="center" vertical="top" wrapText="1"/>
    </xf>
    <xf numFmtId="164" fontId="8" fillId="6" borderId="6" xfId="61" applyFont="1" applyFill="1" applyBorder="1" applyAlignment="1">
      <alignment horizontal="center" vertical="top"/>
    </xf>
    <xf numFmtId="164" fontId="8" fillId="7" borderId="8" xfId="61" applyFont="1" applyFill="1" applyBorder="1" applyAlignment="1">
      <alignment vertical="top"/>
    </xf>
    <xf numFmtId="164" fontId="8" fillId="8" borderId="3" xfId="61" applyFont="1" applyFill="1" applyBorder="1" applyAlignment="1">
      <alignment horizontal="right" vertical="top"/>
    </xf>
    <xf numFmtId="164" fontId="8" fillId="8" borderId="7" xfId="61" applyFont="1" applyFill="1" applyBorder="1" applyAlignment="1">
      <alignment horizontal="right" vertical="top"/>
    </xf>
    <xf numFmtId="164" fontId="8" fillId="9" borderId="3" xfId="61" applyFont="1" applyFill="1" applyBorder="1" applyAlignment="1">
      <alignment horizontal="right" vertical="top"/>
    </xf>
    <xf numFmtId="164" fontId="8" fillId="9" borderId="7" xfId="61" applyFont="1" applyFill="1" applyBorder="1" applyAlignment="1">
      <alignment horizontal="right" vertical="top"/>
    </xf>
    <xf numFmtId="164" fontId="8" fillId="10" borderId="3" xfId="61" applyFont="1" applyFill="1" applyBorder="1" applyAlignment="1">
      <alignment horizontal="right" vertical="top"/>
    </xf>
    <xf numFmtId="164" fontId="8" fillId="10" borderId="7" xfId="61" applyFont="1" applyFill="1" applyBorder="1" applyAlignment="1">
      <alignment horizontal="right" vertical="top"/>
    </xf>
    <xf numFmtId="164" fontId="8" fillId="0" borderId="0" xfId="61" applyFont="1" applyAlignment="1">
      <alignment vertical="top"/>
    </xf>
    <xf numFmtId="49" fontId="13" fillId="0" borderId="9" xfId="0" applyNumberFormat="1" applyFont="1" applyBorder="1" applyAlignment="1">
      <alignment vertical="top"/>
    </xf>
    <xf numFmtId="0" fontId="8" fillId="0" borderId="10" xfId="0" applyFont="1" applyBorder="1"/>
    <xf numFmtId="0" fontId="8" fillId="0" borderId="10" xfId="0" applyFont="1" applyBorder="1" applyAlignment="1">
      <alignment wrapText="1"/>
    </xf>
    <xf numFmtId="171" fontId="8" fillId="0" borderId="10" xfId="62" applyFont="1" applyFill="1" applyBorder="1" applyAlignment="1"/>
    <xf numFmtId="171" fontId="8" fillId="0" borderId="11" xfId="62" applyFont="1" applyFill="1" applyBorder="1" applyAlignment="1"/>
    <xf numFmtId="171" fontId="8" fillId="0" borderId="9" xfId="62" applyFont="1" applyFill="1" applyBorder="1" applyAlignment="1"/>
    <xf numFmtId="172" fontId="8" fillId="0" borderId="19" xfId="63" applyFont="1" applyBorder="1" applyAlignment="1"/>
    <xf numFmtId="172" fontId="8" fillId="0" borderId="10" xfId="63" applyFont="1" applyBorder="1" applyAlignment="1"/>
    <xf numFmtId="173" fontId="8" fillId="0" borderId="10" xfId="0" applyNumberFormat="1" applyFont="1" applyBorder="1"/>
    <xf numFmtId="174" fontId="8" fillId="0" borderId="20" xfId="0" applyNumberFormat="1" applyFont="1" applyBorder="1"/>
    <xf numFmtId="170" fontId="8" fillId="0" borderId="0" xfId="61" applyNumberFormat="1" applyFont="1"/>
    <xf numFmtId="49" fontId="8" fillId="0" borderId="9" xfId="0" applyNumberFormat="1" applyFont="1" applyBorder="1" applyAlignment="1">
      <alignment vertical="top"/>
    </xf>
    <xf numFmtId="0" fontId="8" fillId="0" borderId="10" xfId="0" applyFont="1" applyBorder="1" applyAlignment="1">
      <alignment vertical="top"/>
    </xf>
    <xf numFmtId="1" fontId="8" fillId="12" borderId="9" xfId="0" applyNumberFormat="1" applyFont="1" applyFill="1" applyBorder="1"/>
    <xf numFmtId="0" fontId="8" fillId="12" borderId="10" xfId="0" applyFont="1" applyFill="1" applyBorder="1"/>
    <xf numFmtId="0" fontId="8" fillId="12" borderId="10" xfId="0" applyFont="1" applyFill="1" applyBorder="1" applyAlignment="1">
      <alignment wrapText="1"/>
    </xf>
    <xf numFmtId="171" fontId="8" fillId="12" borderId="10" xfId="62" applyFont="1" applyFill="1" applyBorder="1" applyAlignment="1"/>
    <xf numFmtId="171" fontId="13" fillId="12" borderId="18" xfId="62" applyFont="1" applyFill="1" applyBorder="1" applyAlignment="1"/>
    <xf numFmtId="0" fontId="8" fillId="0" borderId="9" xfId="0" applyFont="1" applyBorder="1" applyAlignment="1">
      <alignment vertical="top"/>
    </xf>
    <xf numFmtId="165" fontId="8" fillId="0" borderId="10" xfId="0" applyNumberFormat="1" applyFont="1" applyBorder="1"/>
    <xf numFmtId="167" fontId="8" fillId="0" borderId="10" xfId="0" applyNumberFormat="1" applyFont="1" applyBorder="1"/>
    <xf numFmtId="0" fontId="8" fillId="0" borderId="1" xfId="0" applyFont="1" applyBorder="1" applyProtection="1">
      <protection hidden="1"/>
    </xf>
    <xf numFmtId="0" fontId="8" fillId="0" borderId="12" xfId="0" applyFont="1" applyBorder="1" applyProtection="1">
      <protection hidden="1"/>
    </xf>
    <xf numFmtId="0" fontId="10" fillId="0" borderId="13" xfId="0" applyFont="1" applyBorder="1" applyAlignment="1" applyProtection="1">
      <alignment horizontal="right"/>
      <protection hidden="1"/>
    </xf>
    <xf numFmtId="0" fontId="8" fillId="0" borderId="1" xfId="0" applyFont="1" applyBorder="1" applyAlignment="1" applyProtection="1">
      <alignment horizontal="right"/>
      <protection hidden="1"/>
    </xf>
    <xf numFmtId="171" fontId="10" fillId="0" borderId="14" xfId="62" applyFont="1" applyFill="1" applyBorder="1" applyAlignment="1" applyProtection="1">
      <protection hidden="1"/>
    </xf>
    <xf numFmtId="171" fontId="10" fillId="0" borderId="12" xfId="62" applyFont="1" applyFill="1" applyBorder="1" applyAlignment="1" applyProtection="1">
      <protection hidden="1"/>
    </xf>
    <xf numFmtId="0" fontId="8" fillId="0" borderId="14" xfId="0" applyFont="1" applyBorder="1"/>
    <xf numFmtId="0" fontId="8" fillId="0" borderId="0" xfId="0" applyFont="1" applyProtection="1">
      <protection hidden="1"/>
    </xf>
    <xf numFmtId="0" fontId="10" fillId="0" borderId="4" xfId="0" applyFont="1" applyBorder="1" applyAlignment="1" applyProtection="1">
      <alignment horizontal="right"/>
      <protection hidden="1"/>
    </xf>
    <xf numFmtId="0" fontId="8" fillId="0" borderId="4" xfId="0" applyFont="1" applyBorder="1" applyAlignment="1" applyProtection="1">
      <alignment horizontal="right"/>
      <protection hidden="1"/>
    </xf>
    <xf numFmtId="171" fontId="10" fillId="0" borderId="4" xfId="62" applyFont="1" applyFill="1" applyBorder="1" applyAlignment="1" applyProtection="1">
      <protection hidden="1"/>
    </xf>
    <xf numFmtId="171" fontId="10" fillId="0" borderId="5" xfId="62" applyFont="1" applyFill="1" applyBorder="1" applyAlignment="1" applyProtection="1">
      <protection hidden="1"/>
    </xf>
    <xf numFmtId="0" fontId="10" fillId="0" borderId="15" xfId="0" applyFont="1" applyBorder="1" applyAlignment="1" applyProtection="1">
      <alignment horizontal="right"/>
      <protection hidden="1"/>
    </xf>
    <xf numFmtId="9" fontId="8" fillId="0" borderId="15" xfId="0" applyNumberFormat="1" applyFont="1" applyBorder="1" applyAlignment="1" applyProtection="1">
      <alignment horizontal="right"/>
      <protection hidden="1"/>
    </xf>
    <xf numFmtId="171" fontId="10" fillId="0" borderId="15" xfId="62" applyFont="1" applyFill="1" applyBorder="1" applyAlignment="1" applyProtection="1">
      <protection hidden="1"/>
    </xf>
    <xf numFmtId="0" fontId="10" fillId="0" borderId="16" xfId="0" applyFont="1" applyBorder="1" applyAlignment="1" applyProtection="1">
      <alignment horizontal="right"/>
      <protection hidden="1"/>
    </xf>
    <xf numFmtId="0" fontId="8" fillId="0" borderId="16" xfId="0" applyFont="1" applyBorder="1" applyAlignment="1" applyProtection="1">
      <alignment horizontal="right"/>
      <protection hidden="1"/>
    </xf>
    <xf numFmtId="171" fontId="10" fillId="0" borderId="16" xfId="62" applyFont="1" applyFill="1" applyBorder="1" applyAlignment="1" applyProtection="1">
      <protection hidden="1"/>
    </xf>
    <xf numFmtId="171" fontId="10" fillId="0" borderId="17" xfId="62" applyFont="1" applyFill="1" applyBorder="1" applyAlignment="1" applyProtection="1">
      <protection hidden="1"/>
    </xf>
    <xf numFmtId="0" fontId="8" fillId="0" borderId="10" xfId="0" applyFont="1" applyBorder="1" applyAlignment="1">
      <alignment vertical="top" wrapText="1"/>
    </xf>
    <xf numFmtId="164" fontId="8" fillId="6" borderId="6" xfId="61" applyFont="1" applyFill="1" applyBorder="1" applyAlignment="1">
      <alignment horizontal="center" vertical="top" wrapText="1"/>
    </xf>
    <xf numFmtId="164" fontId="8" fillId="6" borderId="7" xfId="61" applyFont="1" applyFill="1" applyBorder="1" applyAlignment="1">
      <alignment horizontal="center" vertical="top" wrapText="1"/>
    </xf>
  </cellXfs>
  <cellStyles count="64">
    <cellStyle name="D_AD1" xfId="10" xr:uid="{00000000-0005-0000-0000-000000000000}"/>
    <cellStyle name="D_AD2" xfId="11" xr:uid="{00000000-0005-0000-0000-000001000000}"/>
    <cellStyle name="D_AD3" xfId="12" xr:uid="{00000000-0005-0000-0000-000002000000}"/>
    <cellStyle name="D_AD4" xfId="13" xr:uid="{00000000-0005-0000-0000-000003000000}"/>
    <cellStyle name="D_AD5" xfId="14" xr:uid="{00000000-0005-0000-0000-000004000000}"/>
    <cellStyle name="D_AD6" xfId="15" xr:uid="{00000000-0005-0000-0000-000005000000}"/>
    <cellStyle name="D_AD7" xfId="16" xr:uid="{00000000-0005-0000-0000-000006000000}"/>
    <cellStyle name="D_AD8" xfId="17" xr:uid="{00000000-0005-0000-0000-000007000000}"/>
    <cellStyle name="D_AD9" xfId="18" xr:uid="{00000000-0005-0000-0000-000008000000}"/>
    <cellStyle name="D_AL1" xfId="1" xr:uid="{00000000-0005-0000-0000-000009000000}"/>
    <cellStyle name="D_AL2" xfId="2" xr:uid="{00000000-0005-0000-0000-00000A000000}"/>
    <cellStyle name="D_AL3" xfId="3" xr:uid="{00000000-0005-0000-0000-00000B000000}"/>
    <cellStyle name="D_AL4" xfId="4" xr:uid="{00000000-0005-0000-0000-00000C000000}"/>
    <cellStyle name="D_AL5" xfId="5" xr:uid="{00000000-0005-0000-0000-00000D000000}"/>
    <cellStyle name="D_AL6" xfId="6" xr:uid="{00000000-0005-0000-0000-00000E000000}"/>
    <cellStyle name="D_AL7" xfId="7" xr:uid="{00000000-0005-0000-0000-00000F000000}"/>
    <cellStyle name="D_AL8" xfId="8" xr:uid="{00000000-0005-0000-0000-000010000000}"/>
    <cellStyle name="D_AL9" xfId="9" xr:uid="{00000000-0005-0000-0000-000011000000}"/>
    <cellStyle name="D_MI1" xfId="36" xr:uid="{00000000-0005-0000-0000-000012000000}"/>
    <cellStyle name="D_MI2" xfId="37" xr:uid="{00000000-0005-0000-0000-000013000000}"/>
    <cellStyle name="D_MI3" xfId="38" xr:uid="{00000000-0005-0000-0000-000014000000}"/>
    <cellStyle name="D_MI4" xfId="39" xr:uid="{00000000-0005-0000-0000-000015000000}"/>
    <cellStyle name="D_MI5" xfId="40" xr:uid="{00000000-0005-0000-0000-000016000000}"/>
    <cellStyle name="D_MI6" xfId="41" xr:uid="{00000000-0005-0000-0000-000017000000}"/>
    <cellStyle name="D_MI7" xfId="42" xr:uid="{00000000-0005-0000-0000-000018000000}"/>
    <cellStyle name="D_MI8" xfId="43" xr:uid="{00000000-0005-0000-0000-000019000000}"/>
    <cellStyle name="D_ML1" xfId="19" xr:uid="{00000000-0005-0000-0000-00001A000000}"/>
    <cellStyle name="D_ML2" xfId="20" xr:uid="{00000000-0005-0000-0000-00001B000000}"/>
    <cellStyle name="D_ML3" xfId="21" xr:uid="{00000000-0005-0000-0000-00001C000000}"/>
    <cellStyle name="D_ML4" xfId="22" xr:uid="{00000000-0005-0000-0000-00001D000000}"/>
    <cellStyle name="D_ML5" xfId="23" xr:uid="{00000000-0005-0000-0000-00001E000000}"/>
    <cellStyle name="D_ML6" xfId="24" xr:uid="{00000000-0005-0000-0000-00001F000000}"/>
    <cellStyle name="D_ML7" xfId="25" xr:uid="{00000000-0005-0000-0000-000020000000}"/>
    <cellStyle name="D_ML8" xfId="26" xr:uid="{00000000-0005-0000-0000-000021000000}"/>
    <cellStyle name="D_ML9" xfId="27" xr:uid="{00000000-0005-0000-0000-000022000000}"/>
    <cellStyle name="D_MM1" xfId="28" xr:uid="{00000000-0005-0000-0000-000023000000}"/>
    <cellStyle name="D_MM2" xfId="29" xr:uid="{00000000-0005-0000-0000-000024000000}"/>
    <cellStyle name="D_MM3" xfId="30" xr:uid="{00000000-0005-0000-0000-000025000000}"/>
    <cellStyle name="D_MM4" xfId="31" xr:uid="{00000000-0005-0000-0000-000026000000}"/>
    <cellStyle name="D_MM5" xfId="32" xr:uid="{00000000-0005-0000-0000-000027000000}"/>
    <cellStyle name="D_MM6" xfId="33" xr:uid="{00000000-0005-0000-0000-000028000000}"/>
    <cellStyle name="D_MM7" xfId="34" xr:uid="{00000000-0005-0000-0000-000029000000}"/>
    <cellStyle name="D_MM8" xfId="35" xr:uid="{00000000-0005-0000-0000-00002A000000}"/>
    <cellStyle name="D_MQ_0" xfId="52" xr:uid="{00000000-0005-0000-0000-00002B000000}"/>
    <cellStyle name="D_MQ_1" xfId="53" xr:uid="{00000000-0005-0000-0000-00002C000000}"/>
    <cellStyle name="D_MQ_2" xfId="54" xr:uid="{00000000-0005-0000-0000-00002D000000}"/>
    <cellStyle name="D_MQ_3" xfId="55" xr:uid="{00000000-0005-0000-0000-00002E000000}"/>
    <cellStyle name="D_MT1" xfId="44" xr:uid="{00000000-0005-0000-0000-00002F000000}"/>
    <cellStyle name="D_MT2" xfId="45" xr:uid="{00000000-0005-0000-0000-000030000000}"/>
    <cellStyle name="D_MT3" xfId="46" xr:uid="{00000000-0005-0000-0000-000031000000}"/>
    <cellStyle name="D_MT4" xfId="47" xr:uid="{00000000-0005-0000-0000-000032000000}"/>
    <cellStyle name="D_MT5" xfId="48" xr:uid="{00000000-0005-0000-0000-000033000000}"/>
    <cellStyle name="D_MT6" xfId="49" xr:uid="{00000000-0005-0000-0000-000034000000}"/>
    <cellStyle name="D_MT7" xfId="50" xr:uid="{00000000-0005-0000-0000-000035000000}"/>
    <cellStyle name="D_MT8" xfId="51" xr:uid="{00000000-0005-0000-0000-000036000000}"/>
    <cellStyle name="D_TQ_0" xfId="56" xr:uid="{00000000-0005-0000-0000-000037000000}"/>
    <cellStyle name="D_TQ_1" xfId="57" xr:uid="{00000000-0005-0000-0000-000038000000}"/>
    <cellStyle name="D_TQ_2" xfId="58" xr:uid="{00000000-0005-0000-0000-000039000000}"/>
    <cellStyle name="D_TQ_3" xfId="59" xr:uid="{00000000-0005-0000-0000-00003A000000}"/>
    <cellStyle name="Normal 4" xfId="60" xr:uid="{A2DA84C6-5B08-4A14-92EF-F5081A0B5601}"/>
    <cellStyle name="PriceIncl" xfId="63" xr:uid="{C17D9969-A62D-444C-B436-C4C505C80C5A}"/>
    <cellStyle name="PriceStyle" xfId="62" xr:uid="{E0E0BD59-01DC-4261-876B-75E5E7D51970}"/>
    <cellStyle name="Standaard" xfId="0" builtinId="0"/>
    <cellStyle name="Standaard 2" xfId="61" xr:uid="{DFEA69B7-00BE-4771-8E6B-68C783C1DD0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ST\AppData\Roaming\Microsoft\Excel\XLSTART\mfunc.xla" TargetMode="External"/><Relationship Id="rId1" Type="http://schemas.microsoft.com/office/2006/relationships/xlExternalLinkPath/xlStartup" Target="mfunc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lad1"/>
      <sheetName val="Macro1"/>
      <sheetName val="Functions_languageSpecific"/>
      <sheetName val="mfunc"/>
    </sheetNames>
    <definedNames>
      <definedName name="ArticleCode"/>
      <definedName name="ArticleDescription"/>
      <definedName name="ArticleMeasureType"/>
      <definedName name="ArticleMeasureUnit"/>
      <definedName name="ArticleQuantity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M_N"/>
  <dimension ref="A1:XFC697"/>
  <sheetViews>
    <sheetView showZeros="0" topLeftCell="A589" zoomScale="115" zoomScaleNormal="115" workbookViewId="0">
      <selection activeCell="A621" sqref="A621"/>
    </sheetView>
  </sheetViews>
  <sheetFormatPr defaultColWidth="0" defaultRowHeight="12.75"/>
  <cols>
    <col min="1" max="1" width="10.7109375" style="2" customWidth="1"/>
    <col min="2" max="2" width="14" style="2" customWidth="1"/>
    <col min="3" max="3" width="13" style="2" customWidth="1"/>
    <col min="4" max="6" width="10.7109375" style="2" customWidth="1"/>
    <col min="7" max="8" width="5.7109375" style="2" customWidth="1"/>
    <col min="9" max="9" width="12.7109375" style="2" customWidth="1"/>
    <col min="10" max="10" width="2.28515625" style="2" customWidth="1"/>
    <col min="11" max="16383" width="9.140625" style="2" hidden="1"/>
    <col min="16384" max="16384" width="0.7109375" style="2" hidden="1"/>
  </cols>
  <sheetData>
    <row r="1" spans="1:10" ht="36.75" hidden="1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3" spans="1:10">
      <c r="A3" s="2" t="s">
        <v>285</v>
      </c>
      <c r="B3" s="43" t="s">
        <v>286</v>
      </c>
      <c r="F3" s="44"/>
    </row>
    <row r="4" spans="1:10">
      <c r="A4" s="2" t="s">
        <v>287</v>
      </c>
      <c r="B4" s="44" t="s">
        <v>292</v>
      </c>
      <c r="F4" s="44"/>
    </row>
    <row r="5" spans="1:10">
      <c r="A5" s="2" t="s">
        <v>288</v>
      </c>
      <c r="B5" s="45" t="s">
        <v>289</v>
      </c>
    </row>
    <row r="6" spans="1:10">
      <c r="A6" s="2" t="s">
        <v>290</v>
      </c>
      <c r="B6" s="45" t="s">
        <v>291</v>
      </c>
      <c r="I6" s="46"/>
      <c r="J6" s="46"/>
    </row>
    <row r="7" spans="1:10">
      <c r="A7" s="4"/>
      <c r="B7" s="4"/>
      <c r="C7" s="4"/>
      <c r="D7" s="4"/>
      <c r="E7" s="4"/>
      <c r="F7" s="4"/>
      <c r="G7" s="4"/>
      <c r="H7" s="4"/>
      <c r="I7" s="4"/>
      <c r="J7" s="4"/>
    </row>
    <row r="9" spans="1:10" s="3" customFormat="1"/>
    <row r="10" spans="1:10" s="3" customFormat="1">
      <c r="A10" s="5" t="s">
        <v>0</v>
      </c>
      <c r="B10" s="6" t="s">
        <v>1</v>
      </c>
      <c r="C10" s="7"/>
      <c r="D10" s="8"/>
      <c r="E10" s="9"/>
      <c r="F10" s="10"/>
      <c r="G10" s="11"/>
      <c r="H10" s="12"/>
      <c r="I10" s="13"/>
    </row>
    <row r="11" spans="1:10" s="3" customFormat="1"/>
    <row r="12" spans="1:10" s="3" customFormat="1"/>
    <row r="13" spans="1:10" s="3" customFormat="1">
      <c r="A13" s="5" t="s">
        <v>2</v>
      </c>
      <c r="B13" s="6" t="s">
        <v>3</v>
      </c>
      <c r="C13" s="7"/>
      <c r="D13" s="8"/>
      <c r="E13" s="9"/>
      <c r="F13" s="10"/>
      <c r="G13" s="11"/>
      <c r="H13" s="12"/>
      <c r="I13" s="13"/>
    </row>
    <row r="14" spans="1:10" s="3" customFormat="1"/>
    <row r="15" spans="1:10" s="3" customFormat="1"/>
    <row r="16" spans="1:10" s="3" customFormat="1">
      <c r="A16" s="5" t="s">
        <v>4</v>
      </c>
      <c r="B16" s="6" t="s">
        <v>5</v>
      </c>
      <c r="C16" s="7"/>
      <c r="D16" s="8"/>
      <c r="E16" s="9"/>
      <c r="F16" s="10"/>
      <c r="G16" s="11"/>
      <c r="H16" s="12"/>
      <c r="I16" s="13"/>
    </row>
    <row r="17" spans="1:9" s="3" customFormat="1"/>
    <row r="18" spans="1:9" s="3" customFormat="1"/>
    <row r="19" spans="1:9" s="3" customFormat="1">
      <c r="A19" s="5" t="s">
        <v>6</v>
      </c>
      <c r="B19" s="6" t="s">
        <v>7</v>
      </c>
      <c r="C19" s="7"/>
      <c r="D19" s="8"/>
      <c r="E19" s="9"/>
      <c r="F19" s="10"/>
      <c r="G19" s="11"/>
      <c r="H19" s="12"/>
      <c r="I19" s="13"/>
    </row>
    <row r="20" spans="1:9" s="3" customFormat="1"/>
    <row r="21" spans="1:9" s="3" customFormat="1"/>
    <row r="22" spans="1:9" s="3" customFormat="1">
      <c r="A22" s="5" t="s">
        <v>8</v>
      </c>
      <c r="B22" s="6" t="s">
        <v>9</v>
      </c>
      <c r="C22" s="7"/>
      <c r="D22" s="8"/>
      <c r="E22" s="9"/>
      <c r="F22" s="10"/>
      <c r="G22" s="11"/>
      <c r="H22" s="12"/>
      <c r="I22" s="13"/>
    </row>
    <row r="23" spans="1:9" s="3" customFormat="1"/>
    <row r="24" spans="1:9" s="3" customFormat="1"/>
    <row r="25" spans="1:9" s="3" customFormat="1">
      <c r="A25" s="5" t="s">
        <v>10</v>
      </c>
      <c r="B25" s="6" t="s">
        <v>11</v>
      </c>
      <c r="C25" s="7"/>
      <c r="D25" s="8"/>
      <c r="E25" s="9"/>
      <c r="F25" s="10"/>
      <c r="G25" s="11"/>
      <c r="H25" s="12"/>
      <c r="I25" s="13"/>
    </row>
    <row r="26" spans="1:9" s="3" customFormat="1"/>
    <row r="27" spans="1:9" s="3" customFormat="1"/>
    <row r="28" spans="1:9" s="3" customFormat="1">
      <c r="A28" s="5" t="s">
        <v>12</v>
      </c>
      <c r="B28" s="6" t="s">
        <v>13</v>
      </c>
      <c r="C28" s="7"/>
      <c r="D28" s="8"/>
      <c r="E28" s="9"/>
      <c r="F28" s="10"/>
      <c r="G28" s="11"/>
      <c r="H28" s="12"/>
      <c r="I28" s="13"/>
    </row>
    <row r="29" spans="1:9" s="3" customFormat="1"/>
    <row r="30" spans="1:9" s="3" customFormat="1"/>
    <row r="31" spans="1:9" s="3" customFormat="1">
      <c r="A31" s="5" t="s">
        <v>14</v>
      </c>
      <c r="B31" s="6" t="s">
        <v>15</v>
      </c>
      <c r="C31" s="7"/>
      <c r="D31" s="8"/>
      <c r="E31" s="9"/>
      <c r="F31" s="10"/>
      <c r="G31" s="11"/>
      <c r="H31" s="12"/>
      <c r="I31" s="13"/>
    </row>
    <row r="32" spans="1:9" s="3" customFormat="1"/>
    <row r="33" spans="1:9" s="3" customFormat="1"/>
    <row r="34" spans="1:9" s="3" customFormat="1">
      <c r="A34" s="5" t="s">
        <v>16</v>
      </c>
      <c r="B34" s="6" t="s">
        <v>17</v>
      </c>
      <c r="C34" s="7"/>
      <c r="D34" s="8"/>
      <c r="E34" s="9"/>
      <c r="F34" s="10"/>
      <c r="G34" s="11"/>
      <c r="H34" s="12"/>
      <c r="I34" s="13"/>
    </row>
    <row r="35" spans="1:9" s="3" customFormat="1">
      <c r="A35" s="14"/>
      <c r="B35" s="15"/>
      <c r="C35" s="16"/>
      <c r="D35" s="17" t="s">
        <v>278</v>
      </c>
      <c r="E35" s="18"/>
      <c r="F35" s="19"/>
      <c r="G35" s="20" t="s">
        <v>18</v>
      </c>
      <c r="H35" s="21"/>
      <c r="I35" s="22"/>
    </row>
    <row r="36" spans="1:9" s="3" customFormat="1"/>
    <row r="37" spans="1:9" s="3" customFormat="1"/>
    <row r="38" spans="1:9" s="3" customFormat="1">
      <c r="A38" s="5" t="s">
        <v>19</v>
      </c>
      <c r="B38" s="6" t="s">
        <v>20</v>
      </c>
      <c r="C38" s="7"/>
      <c r="D38" s="8"/>
      <c r="E38" s="9"/>
      <c r="F38" s="10"/>
      <c r="G38" s="11"/>
      <c r="H38" s="12"/>
      <c r="I38" s="13"/>
    </row>
    <row r="39" spans="1:9" s="3" customFormat="1">
      <c r="A39" s="14"/>
      <c r="B39" s="15"/>
      <c r="C39" s="16"/>
      <c r="D39" s="17" t="s">
        <v>278</v>
      </c>
      <c r="E39" s="18"/>
      <c r="F39" s="19"/>
      <c r="G39" s="20" t="s">
        <v>18</v>
      </c>
      <c r="H39" s="21"/>
      <c r="I39" s="22"/>
    </row>
    <row r="40" spans="1:9" s="3" customFormat="1"/>
    <row r="41" spans="1:9" s="3" customFormat="1"/>
    <row r="42" spans="1:9" s="3" customFormat="1">
      <c r="A42" s="5" t="s">
        <v>21</v>
      </c>
      <c r="B42" s="6" t="s">
        <v>22</v>
      </c>
      <c r="C42" s="7"/>
      <c r="D42" s="8"/>
      <c r="E42" s="9"/>
      <c r="F42" s="10"/>
      <c r="G42" s="11"/>
      <c r="H42" s="12"/>
      <c r="I42" s="13"/>
    </row>
    <row r="43" spans="1:9" s="3" customFormat="1">
      <c r="A43" s="14"/>
      <c r="B43" s="15"/>
      <c r="C43" s="16"/>
      <c r="D43" s="17" t="s">
        <v>278</v>
      </c>
      <c r="E43" s="18"/>
      <c r="F43" s="19"/>
      <c r="G43" s="20" t="s">
        <v>18</v>
      </c>
      <c r="H43" s="21"/>
      <c r="I43" s="22"/>
    </row>
    <row r="44" spans="1:9" s="3" customFormat="1"/>
    <row r="45" spans="1:9" s="3" customFormat="1"/>
    <row r="46" spans="1:9" s="3" customFormat="1">
      <c r="A46" s="5" t="s">
        <v>23</v>
      </c>
      <c r="B46" s="6" t="s">
        <v>24</v>
      </c>
      <c r="C46" s="7"/>
      <c r="D46" s="8"/>
      <c r="E46" s="9"/>
      <c r="F46" s="10"/>
      <c r="G46" s="11"/>
      <c r="H46" s="12"/>
      <c r="I46" s="13"/>
    </row>
    <row r="47" spans="1:9" s="3" customFormat="1">
      <c r="A47" s="14"/>
      <c r="B47" s="15"/>
      <c r="C47" s="16"/>
      <c r="D47" s="17" t="s">
        <v>278</v>
      </c>
      <c r="E47" s="18"/>
      <c r="F47" s="19"/>
      <c r="G47" s="20" t="s">
        <v>18</v>
      </c>
      <c r="H47" s="21"/>
      <c r="I47" s="22"/>
    </row>
    <row r="48" spans="1:9" s="3" customFormat="1"/>
    <row r="49" spans="1:9" s="3" customFormat="1"/>
    <row r="50" spans="1:9" s="3" customFormat="1">
      <c r="A50" s="5" t="s">
        <v>25</v>
      </c>
      <c r="B50" s="6" t="s">
        <v>26</v>
      </c>
      <c r="C50" s="7"/>
      <c r="D50" s="8"/>
      <c r="E50" s="9"/>
      <c r="F50" s="10"/>
      <c r="G50" s="11"/>
      <c r="H50" s="12"/>
      <c r="I50" s="13"/>
    </row>
    <row r="51" spans="1:9" s="3" customFormat="1">
      <c r="A51" s="14"/>
      <c r="B51" s="15"/>
      <c r="C51" s="16"/>
      <c r="D51" s="17" t="s">
        <v>278</v>
      </c>
      <c r="E51" s="18"/>
      <c r="F51" s="19"/>
      <c r="G51" s="20" t="s">
        <v>18</v>
      </c>
      <c r="H51" s="21"/>
      <c r="I51" s="22"/>
    </row>
    <row r="52" spans="1:9" s="3" customFormat="1"/>
    <row r="53" spans="1:9" s="3" customFormat="1"/>
    <row r="54" spans="1:9" s="3" customFormat="1">
      <c r="A54" s="5" t="s">
        <v>27</v>
      </c>
      <c r="B54" s="6" t="s">
        <v>28</v>
      </c>
      <c r="C54" s="7"/>
      <c r="D54" s="8"/>
      <c r="E54" s="9"/>
      <c r="F54" s="10"/>
      <c r="G54" s="11"/>
      <c r="H54" s="12"/>
      <c r="I54" s="13"/>
    </row>
    <row r="55" spans="1:9" s="3" customFormat="1">
      <c r="A55" s="14"/>
      <c r="B55" s="15"/>
      <c r="C55" s="16"/>
      <c r="D55" s="17" t="s">
        <v>278</v>
      </c>
      <c r="E55" s="18"/>
      <c r="F55" s="19"/>
      <c r="G55" s="20" t="s">
        <v>18</v>
      </c>
      <c r="H55" s="21"/>
      <c r="I55" s="22"/>
    </row>
    <row r="56" spans="1:9" s="3" customFormat="1"/>
    <row r="57" spans="1:9" s="3" customFormat="1"/>
    <row r="58" spans="1:9" s="3" customFormat="1">
      <c r="A58" s="5" t="s">
        <v>29</v>
      </c>
      <c r="B58" s="6" t="s">
        <v>30</v>
      </c>
      <c r="C58" s="7"/>
      <c r="D58" s="8"/>
      <c r="E58" s="9"/>
      <c r="F58" s="10"/>
      <c r="G58" s="11"/>
      <c r="H58" s="12"/>
      <c r="I58" s="13"/>
    </row>
    <row r="59" spans="1:9" s="3" customFormat="1">
      <c r="A59" s="14"/>
      <c r="B59" s="15"/>
      <c r="C59" s="16"/>
      <c r="D59" s="17" t="s">
        <v>278</v>
      </c>
      <c r="E59" s="18"/>
      <c r="F59" s="19"/>
      <c r="G59" s="20" t="s">
        <v>18</v>
      </c>
      <c r="H59" s="21"/>
      <c r="I59" s="22"/>
    </row>
    <row r="60" spans="1:9" s="3" customFormat="1"/>
    <row r="61" spans="1:9" s="3" customFormat="1"/>
    <row r="62" spans="1:9" s="3" customFormat="1">
      <c r="A62" s="5" t="s">
        <v>31</v>
      </c>
      <c r="B62" s="6" t="s">
        <v>32</v>
      </c>
      <c r="C62" s="7"/>
      <c r="D62" s="8"/>
      <c r="E62" s="9"/>
      <c r="F62" s="10"/>
      <c r="G62" s="11"/>
      <c r="H62" s="12"/>
      <c r="I62" s="13"/>
    </row>
    <row r="63" spans="1:9" s="3" customFormat="1"/>
    <row r="64" spans="1:9" s="3" customFormat="1"/>
    <row r="65" spans="1:9" s="3" customFormat="1">
      <c r="A65" s="5" t="s">
        <v>33</v>
      </c>
      <c r="B65" s="6" t="s">
        <v>34</v>
      </c>
      <c r="C65" s="7"/>
      <c r="D65" s="8"/>
      <c r="E65" s="9"/>
      <c r="F65" s="10"/>
      <c r="G65" s="11"/>
      <c r="H65" s="12"/>
      <c r="I65" s="13"/>
    </row>
    <row r="66" spans="1:9" s="3" customFormat="1">
      <c r="A66" s="14"/>
      <c r="B66" s="15"/>
      <c r="C66" s="16"/>
      <c r="D66" s="17" t="s">
        <v>278</v>
      </c>
      <c r="E66" s="18"/>
      <c r="F66" s="19"/>
      <c r="G66" s="20" t="s">
        <v>18</v>
      </c>
      <c r="H66" s="21"/>
      <c r="I66" s="22"/>
    </row>
    <row r="67" spans="1:9" s="3" customFormat="1"/>
    <row r="68" spans="1:9" s="3" customFormat="1"/>
    <row r="69" spans="1:9" s="3" customFormat="1">
      <c r="A69" s="5" t="s">
        <v>35</v>
      </c>
      <c r="B69" s="6" t="s">
        <v>36</v>
      </c>
      <c r="C69" s="7"/>
      <c r="D69" s="8"/>
      <c r="E69" s="9"/>
      <c r="F69" s="10"/>
      <c r="G69" s="11"/>
      <c r="H69" s="12"/>
      <c r="I69" s="13"/>
    </row>
    <row r="70" spans="1:9" s="3" customFormat="1">
      <c r="A70" s="14"/>
      <c r="B70" s="15"/>
      <c r="C70" s="16"/>
      <c r="D70" s="17" t="s">
        <v>278</v>
      </c>
      <c r="E70" s="18"/>
      <c r="F70" s="19"/>
      <c r="G70" s="20" t="s">
        <v>18</v>
      </c>
      <c r="H70" s="21"/>
      <c r="I70" s="22"/>
    </row>
    <row r="71" spans="1:9" s="3" customFormat="1"/>
    <row r="72" spans="1:9" s="3" customFormat="1"/>
    <row r="73" spans="1:9" s="3" customFormat="1">
      <c r="A73" s="5" t="s">
        <v>37</v>
      </c>
      <c r="B73" s="6" t="s">
        <v>38</v>
      </c>
      <c r="C73" s="7"/>
      <c r="D73" s="8"/>
      <c r="E73" s="9"/>
      <c r="F73" s="10"/>
      <c r="G73" s="11"/>
      <c r="H73" s="12"/>
      <c r="I73" s="13"/>
    </row>
    <row r="74" spans="1:9" s="3" customFormat="1">
      <c r="A74" s="14"/>
      <c r="B74" s="15"/>
      <c r="C74" s="16"/>
      <c r="D74" s="17" t="s">
        <v>278</v>
      </c>
      <c r="E74" s="18"/>
      <c r="F74" s="19"/>
      <c r="G74" s="20" t="s">
        <v>18</v>
      </c>
      <c r="H74" s="21"/>
      <c r="I74" s="22"/>
    </row>
    <row r="75" spans="1:9" s="3" customFormat="1"/>
    <row r="76" spans="1:9" s="3" customFormat="1"/>
    <row r="77" spans="1:9" s="3" customFormat="1">
      <c r="A77" s="5" t="s">
        <v>39</v>
      </c>
      <c r="B77" s="6" t="s">
        <v>40</v>
      </c>
      <c r="C77" s="7"/>
      <c r="D77" s="8"/>
      <c r="E77" s="9"/>
      <c r="F77" s="10"/>
      <c r="G77" s="11"/>
      <c r="H77" s="12"/>
      <c r="I77" s="13"/>
    </row>
    <row r="78" spans="1:9" s="3" customFormat="1">
      <c r="A78" s="14"/>
      <c r="B78" s="15"/>
      <c r="C78" s="16"/>
      <c r="D78" s="17" t="s">
        <v>278</v>
      </c>
      <c r="E78" s="18"/>
      <c r="F78" s="19"/>
      <c r="G78" s="20" t="s">
        <v>18</v>
      </c>
      <c r="H78" s="21"/>
      <c r="I78" s="22"/>
    </row>
    <row r="79" spans="1:9" s="3" customFormat="1"/>
    <row r="80" spans="1:9" s="3" customFormat="1"/>
    <row r="81" spans="1:9" s="3" customFormat="1">
      <c r="A81" s="5" t="s">
        <v>41</v>
      </c>
      <c r="B81" s="6" t="s">
        <v>42</v>
      </c>
      <c r="C81" s="7"/>
      <c r="D81" s="8"/>
      <c r="E81" s="9"/>
      <c r="F81" s="10"/>
      <c r="G81" s="11"/>
      <c r="H81" s="12"/>
      <c r="I81" s="13"/>
    </row>
    <row r="82" spans="1:9" s="3" customFormat="1"/>
    <row r="83" spans="1:9" s="3" customFormat="1"/>
    <row r="84" spans="1:9" s="3" customFormat="1">
      <c r="A84" s="5" t="s">
        <v>43</v>
      </c>
      <c r="B84" s="6" t="s">
        <v>44</v>
      </c>
      <c r="C84" s="7"/>
      <c r="D84" s="8"/>
      <c r="E84" s="9"/>
      <c r="F84" s="10"/>
      <c r="G84" s="11"/>
      <c r="H84" s="12"/>
      <c r="I84" s="13"/>
    </row>
    <row r="85" spans="1:9" s="3" customFormat="1">
      <c r="A85" s="14"/>
      <c r="B85" s="15"/>
      <c r="C85" s="16"/>
      <c r="D85" s="17" t="s">
        <v>278</v>
      </c>
      <c r="E85" s="18"/>
      <c r="F85" s="19"/>
      <c r="G85" s="20" t="s">
        <v>18</v>
      </c>
      <c r="H85" s="21"/>
      <c r="I85" s="22"/>
    </row>
    <row r="86" spans="1:9" s="3" customFormat="1"/>
    <row r="87" spans="1:9" s="3" customFormat="1"/>
    <row r="88" spans="1:9" s="3" customFormat="1">
      <c r="A88" s="5" t="s">
        <v>45</v>
      </c>
      <c r="B88" s="6" t="s">
        <v>46</v>
      </c>
      <c r="C88" s="7"/>
      <c r="D88" s="8"/>
      <c r="E88" s="9"/>
      <c r="F88" s="10"/>
      <c r="G88" s="11"/>
      <c r="H88" s="12"/>
      <c r="I88" s="13"/>
    </row>
    <row r="89" spans="1:9" s="3" customFormat="1">
      <c r="A89" s="14"/>
      <c r="B89" s="15"/>
      <c r="C89" s="16"/>
      <c r="D89" s="17" t="s">
        <v>278</v>
      </c>
      <c r="E89" s="18"/>
      <c r="F89" s="19"/>
      <c r="G89" s="20" t="s">
        <v>18</v>
      </c>
      <c r="H89" s="21"/>
      <c r="I89" s="22"/>
    </row>
    <row r="90" spans="1:9" s="3" customFormat="1"/>
    <row r="91" spans="1:9" s="3" customFormat="1"/>
    <row r="92" spans="1:9" s="3" customFormat="1">
      <c r="A92" s="5" t="s">
        <v>47</v>
      </c>
      <c r="B92" s="6" t="s">
        <v>48</v>
      </c>
      <c r="C92" s="7"/>
      <c r="D92" s="8"/>
      <c r="E92" s="9"/>
      <c r="F92" s="10"/>
      <c r="G92" s="11"/>
      <c r="H92" s="12"/>
      <c r="I92" s="13"/>
    </row>
    <row r="93" spans="1:9" s="3" customFormat="1">
      <c r="A93" s="14"/>
      <c r="B93" s="15"/>
      <c r="C93" s="16"/>
      <c r="D93" s="17" t="s">
        <v>278</v>
      </c>
      <c r="E93" s="18"/>
      <c r="F93" s="19"/>
      <c r="G93" s="20" t="s">
        <v>18</v>
      </c>
      <c r="H93" s="21"/>
      <c r="I93" s="22"/>
    </row>
    <row r="94" spans="1:9" s="3" customFormat="1"/>
    <row r="95" spans="1:9" s="3" customFormat="1"/>
    <row r="96" spans="1:9" s="3" customFormat="1">
      <c r="A96" s="5" t="s">
        <v>49</v>
      </c>
      <c r="B96" s="6" t="s">
        <v>50</v>
      </c>
      <c r="C96" s="7"/>
      <c r="D96" s="8"/>
      <c r="E96" s="9"/>
      <c r="F96" s="10"/>
      <c r="G96" s="11"/>
      <c r="H96" s="12"/>
      <c r="I96" s="13"/>
    </row>
    <row r="97" spans="1:9" s="3" customFormat="1">
      <c r="A97" s="14"/>
      <c r="B97" s="15"/>
      <c r="C97" s="16"/>
      <c r="D97" s="17" t="s">
        <v>278</v>
      </c>
      <c r="E97" s="18"/>
      <c r="F97" s="19"/>
      <c r="G97" s="20" t="s">
        <v>51</v>
      </c>
      <c r="H97" s="21"/>
      <c r="I97" s="22"/>
    </row>
    <row r="98" spans="1:9" s="3" customFormat="1"/>
    <row r="99" spans="1:9" s="3" customFormat="1"/>
    <row r="100" spans="1:9" s="3" customFormat="1">
      <c r="A100" s="5" t="s">
        <v>52</v>
      </c>
      <c r="B100" s="6" t="s">
        <v>53</v>
      </c>
      <c r="C100" s="7"/>
      <c r="D100" s="8"/>
      <c r="E100" s="9"/>
      <c r="F100" s="10"/>
      <c r="G100" s="11"/>
      <c r="H100" s="12"/>
      <c r="I100" s="13"/>
    </row>
    <row r="101" spans="1:9" s="3" customFormat="1"/>
    <row r="102" spans="1:9" s="3" customFormat="1"/>
    <row r="103" spans="1:9" s="3" customFormat="1">
      <c r="A103" s="5" t="s">
        <v>54</v>
      </c>
      <c r="B103" s="6" t="s">
        <v>55</v>
      </c>
      <c r="C103" s="7"/>
      <c r="D103" s="8"/>
      <c r="E103" s="9"/>
      <c r="F103" s="10"/>
      <c r="G103" s="11"/>
      <c r="H103" s="12"/>
      <c r="I103" s="13"/>
    </row>
    <row r="104" spans="1:9" s="3" customFormat="1"/>
    <row r="105" spans="1:9" s="3" customFormat="1"/>
    <row r="106" spans="1:9" s="3" customFormat="1">
      <c r="A106" s="5" t="s">
        <v>56</v>
      </c>
      <c r="B106" s="6" t="s">
        <v>57</v>
      </c>
      <c r="C106" s="7"/>
      <c r="D106" s="8"/>
      <c r="E106" s="9"/>
      <c r="F106" s="10"/>
      <c r="G106" s="11"/>
      <c r="H106" s="12"/>
      <c r="I106" s="13"/>
    </row>
    <row r="107" spans="1:9" s="3" customFormat="1"/>
    <row r="108" spans="1:9" s="3" customFormat="1"/>
    <row r="109" spans="1:9" s="3" customFormat="1">
      <c r="A109" s="5" t="s">
        <v>58</v>
      </c>
      <c r="B109" s="6" t="s">
        <v>59</v>
      </c>
      <c r="C109" s="7"/>
      <c r="D109" s="8"/>
      <c r="E109" s="9"/>
      <c r="F109" s="10"/>
      <c r="G109" s="11"/>
      <c r="H109" s="12"/>
      <c r="I109" s="13"/>
    </row>
    <row r="110" spans="1:9" s="3" customFormat="1">
      <c r="A110" s="14"/>
      <c r="B110" s="15"/>
      <c r="C110" s="16"/>
      <c r="D110" s="17" t="s">
        <v>278</v>
      </c>
      <c r="E110" s="18"/>
      <c r="F110" s="19"/>
      <c r="G110" s="20" t="s">
        <v>18</v>
      </c>
      <c r="H110" s="21"/>
      <c r="I110" s="22"/>
    </row>
    <row r="111" spans="1:9" s="3" customFormat="1"/>
    <row r="112" spans="1:9" s="3" customFormat="1"/>
    <row r="113" spans="1:9" s="3" customFormat="1">
      <c r="A113" s="5" t="s">
        <v>60</v>
      </c>
      <c r="B113" s="6" t="s">
        <v>61</v>
      </c>
      <c r="C113" s="7"/>
      <c r="D113" s="8"/>
      <c r="E113" s="9"/>
      <c r="F113" s="10"/>
      <c r="G113" s="11"/>
      <c r="H113" s="12"/>
      <c r="I113" s="13"/>
    </row>
    <row r="114" spans="1:9" s="3" customFormat="1"/>
    <row r="115" spans="1:9" s="3" customFormat="1"/>
    <row r="116" spans="1:9" s="3" customFormat="1">
      <c r="A116" s="5" t="s">
        <v>62</v>
      </c>
      <c r="B116" s="6" t="s">
        <v>63</v>
      </c>
      <c r="C116" s="7"/>
      <c r="D116" s="8"/>
      <c r="E116" s="9"/>
      <c r="F116" s="10"/>
      <c r="G116" s="11"/>
      <c r="H116" s="12"/>
      <c r="I116" s="13"/>
    </row>
    <row r="117" spans="1:9" s="3" customFormat="1"/>
    <row r="118" spans="1:9" s="3" customFormat="1"/>
    <row r="119" spans="1:9" s="3" customFormat="1">
      <c r="A119" s="5" t="s">
        <v>64</v>
      </c>
      <c r="B119" s="6" t="s">
        <v>65</v>
      </c>
      <c r="C119" s="7"/>
      <c r="D119" s="8"/>
      <c r="E119" s="9"/>
      <c r="F119" s="10"/>
      <c r="G119" s="11"/>
      <c r="H119" s="12"/>
      <c r="I119" s="13"/>
    </row>
    <row r="120" spans="1:9" s="3" customFormat="1">
      <c r="A120" s="14"/>
      <c r="B120" s="15"/>
      <c r="C120" s="16"/>
      <c r="D120" s="17" t="s">
        <v>278</v>
      </c>
      <c r="E120" s="18"/>
      <c r="F120" s="19"/>
      <c r="G120" s="20" t="s">
        <v>18</v>
      </c>
      <c r="H120" s="21"/>
      <c r="I120" s="22"/>
    </row>
    <row r="121" spans="1:9" s="3" customFormat="1"/>
    <row r="122" spans="1:9" s="3" customFormat="1"/>
    <row r="123" spans="1:9" s="3" customFormat="1">
      <c r="A123" s="5" t="s">
        <v>66</v>
      </c>
      <c r="B123" s="6" t="s">
        <v>67</v>
      </c>
      <c r="C123" s="7"/>
      <c r="D123" s="8"/>
      <c r="E123" s="9"/>
      <c r="F123" s="10"/>
      <c r="G123" s="11"/>
      <c r="H123" s="12"/>
      <c r="I123" s="13"/>
    </row>
    <row r="124" spans="1:9" s="3" customFormat="1">
      <c r="A124" s="14"/>
      <c r="B124" s="15"/>
      <c r="C124" s="16"/>
      <c r="D124" s="17" t="s">
        <v>278</v>
      </c>
      <c r="E124" s="18"/>
      <c r="F124" s="19"/>
      <c r="G124" s="20" t="s">
        <v>18</v>
      </c>
      <c r="H124" s="21"/>
      <c r="I124" s="22"/>
    </row>
    <row r="125" spans="1:9" s="3" customFormat="1"/>
    <row r="126" spans="1:9" s="3" customFormat="1"/>
    <row r="127" spans="1:9" s="3" customFormat="1">
      <c r="A127" s="5" t="s">
        <v>68</v>
      </c>
      <c r="B127" s="6" t="s">
        <v>69</v>
      </c>
      <c r="C127" s="7"/>
      <c r="D127" s="8"/>
      <c r="E127" s="9"/>
      <c r="F127" s="10"/>
      <c r="G127" s="11"/>
      <c r="H127" s="12"/>
      <c r="I127" s="13"/>
    </row>
    <row r="128" spans="1:9" s="3" customFormat="1"/>
    <row r="129" spans="1:9" s="3" customFormat="1"/>
    <row r="130" spans="1:9" s="3" customFormat="1">
      <c r="A130" s="5" t="s">
        <v>70</v>
      </c>
      <c r="B130" s="6" t="s">
        <v>71</v>
      </c>
      <c r="C130" s="7"/>
      <c r="D130" s="8"/>
      <c r="E130" s="9"/>
      <c r="F130" s="10"/>
      <c r="G130" s="11"/>
      <c r="H130" s="12"/>
      <c r="I130" s="13"/>
    </row>
    <row r="131" spans="1:9" s="3" customFormat="1"/>
    <row r="132" spans="1:9" s="3" customFormat="1"/>
    <row r="133" spans="1:9" s="3" customFormat="1">
      <c r="A133" s="5" t="s">
        <v>72</v>
      </c>
      <c r="B133" s="6" t="s">
        <v>73</v>
      </c>
      <c r="C133" s="7"/>
      <c r="D133" s="8"/>
      <c r="E133" s="9"/>
      <c r="F133" s="10"/>
      <c r="G133" s="11"/>
      <c r="H133" s="12"/>
      <c r="I133" s="13"/>
    </row>
    <row r="134" spans="1:9" s="3" customFormat="1"/>
    <row r="135" spans="1:9" s="3" customFormat="1"/>
    <row r="136" spans="1:9" s="3" customFormat="1">
      <c r="A136" s="5" t="s">
        <v>74</v>
      </c>
      <c r="B136" s="6" t="s">
        <v>75</v>
      </c>
      <c r="C136" s="7"/>
      <c r="D136" s="8"/>
      <c r="E136" s="9"/>
      <c r="F136" s="10"/>
      <c r="G136" s="11"/>
      <c r="H136" s="12"/>
      <c r="I136" s="13"/>
    </row>
    <row r="137" spans="1:9" s="3" customFormat="1"/>
    <row r="138" spans="1:9" s="3" customFormat="1"/>
    <row r="139" spans="1:9" s="3" customFormat="1">
      <c r="A139" s="5" t="s">
        <v>76</v>
      </c>
      <c r="B139" s="6" t="s">
        <v>77</v>
      </c>
      <c r="C139" s="7"/>
      <c r="D139" s="8"/>
      <c r="E139" s="9"/>
      <c r="F139" s="10"/>
      <c r="G139" s="11"/>
      <c r="H139" s="12"/>
      <c r="I139" s="13"/>
    </row>
    <row r="140" spans="1:9" s="3" customFormat="1">
      <c r="A140" s="23"/>
      <c r="B140" s="24" t="s">
        <v>279</v>
      </c>
      <c r="C140" s="25"/>
      <c r="D140" s="26" t="s">
        <v>282</v>
      </c>
      <c r="E140" s="27" t="s">
        <v>283</v>
      </c>
      <c r="F140" s="28"/>
      <c r="G140" s="29" t="s">
        <v>280</v>
      </c>
      <c r="H140" s="30"/>
      <c r="I140" s="31" t="s">
        <v>281</v>
      </c>
    </row>
    <row r="141" spans="1:9" s="3" customFormat="1">
      <c r="A141" s="32"/>
      <c r="B141" s="33" t="s">
        <v>293</v>
      </c>
      <c r="C141" s="34"/>
      <c r="D141" s="35">
        <v>1.6</v>
      </c>
      <c r="E141" s="36">
        <v>2.17</v>
      </c>
      <c r="F141" s="37"/>
      <c r="G141" s="38"/>
      <c r="H141" s="39">
        <v>6</v>
      </c>
      <c r="I141" s="40">
        <f t="shared" ref="I141:I146" si="0">ROUND(PRODUCT(ROUND(PRODUCT(D141,E141,F141),2),G141,H141),2)</f>
        <v>20.82</v>
      </c>
    </row>
    <row r="142" spans="1:9" s="3" customFormat="1">
      <c r="A142" s="32"/>
      <c r="B142" s="33"/>
      <c r="C142" s="34"/>
      <c r="D142" s="35"/>
      <c r="E142" s="36"/>
      <c r="F142" s="37"/>
      <c r="G142" s="38"/>
      <c r="H142" s="39"/>
      <c r="I142" s="40">
        <f t="shared" si="0"/>
        <v>0</v>
      </c>
    </row>
    <row r="143" spans="1:9" s="3" customFormat="1">
      <c r="A143" s="32"/>
      <c r="B143" s="33"/>
      <c r="C143" s="34"/>
      <c r="D143" s="35"/>
      <c r="E143" s="36"/>
      <c r="F143" s="37"/>
      <c r="G143" s="38"/>
      <c r="H143" s="39"/>
      <c r="I143" s="40">
        <f t="shared" si="0"/>
        <v>0</v>
      </c>
    </row>
    <row r="144" spans="1:9" s="3" customFormat="1">
      <c r="A144" s="32"/>
      <c r="B144" s="33"/>
      <c r="C144" s="34"/>
      <c r="D144" s="35"/>
      <c r="E144" s="36"/>
      <c r="F144" s="37"/>
      <c r="G144" s="38"/>
      <c r="H144" s="39"/>
      <c r="I144" s="40">
        <f t="shared" si="0"/>
        <v>0</v>
      </c>
    </row>
    <row r="145" spans="1:9" s="3" customFormat="1">
      <c r="A145" s="32"/>
      <c r="B145" s="33"/>
      <c r="C145" s="34"/>
      <c r="D145" s="35"/>
      <c r="E145" s="36"/>
      <c r="F145" s="37"/>
      <c r="G145" s="38"/>
      <c r="H145" s="39"/>
      <c r="I145" s="40">
        <f t="shared" si="0"/>
        <v>0</v>
      </c>
    </row>
    <row r="146" spans="1:9" s="3" customFormat="1">
      <c r="A146" s="32"/>
      <c r="B146" s="33"/>
      <c r="C146" s="34"/>
      <c r="D146" s="35"/>
      <c r="E146" s="36"/>
      <c r="F146" s="37"/>
      <c r="G146" s="38"/>
      <c r="H146" s="39"/>
      <c r="I146" s="40">
        <f t="shared" si="0"/>
        <v>0</v>
      </c>
    </row>
    <row r="147" spans="1:9" s="3" customFormat="1">
      <c r="A147" s="14"/>
      <c r="B147" s="15"/>
      <c r="C147" s="16"/>
      <c r="D147" s="17" t="s">
        <v>278</v>
      </c>
      <c r="E147" s="18"/>
      <c r="F147" s="19"/>
      <c r="G147" s="20" t="s">
        <v>78</v>
      </c>
      <c r="H147" s="21" t="s">
        <v>79</v>
      </c>
      <c r="I147" s="41">
        <f>SUBTOTAL(9,I141:I146)</f>
        <v>20.82</v>
      </c>
    </row>
    <row r="148" spans="1:9" s="3" customFormat="1"/>
    <row r="149" spans="1:9" s="3" customFormat="1"/>
    <row r="150" spans="1:9" s="3" customFormat="1">
      <c r="A150" s="5" t="s">
        <v>80</v>
      </c>
      <c r="B150" s="6" t="s">
        <v>81</v>
      </c>
      <c r="C150" s="7"/>
      <c r="D150" s="8"/>
      <c r="E150" s="9"/>
      <c r="F150" s="10"/>
      <c r="G150" s="11"/>
      <c r="H150" s="12"/>
      <c r="I150" s="13"/>
    </row>
    <row r="151" spans="1:9" s="3" customFormat="1"/>
    <row r="152" spans="1:9" s="3" customFormat="1"/>
    <row r="153" spans="1:9" s="3" customFormat="1">
      <c r="A153" s="5" t="s">
        <v>82</v>
      </c>
      <c r="B153" s="6" t="s">
        <v>83</v>
      </c>
      <c r="C153" s="7"/>
      <c r="D153" s="8"/>
      <c r="E153" s="9"/>
      <c r="F153" s="10"/>
      <c r="G153" s="11"/>
      <c r="H153" s="12"/>
      <c r="I153" s="13"/>
    </row>
    <row r="154" spans="1:9" s="3" customFormat="1"/>
    <row r="155" spans="1:9" s="3" customFormat="1"/>
    <row r="156" spans="1:9" s="3" customFormat="1">
      <c r="A156" s="5" t="s">
        <v>84</v>
      </c>
      <c r="B156" s="6" t="s">
        <v>85</v>
      </c>
      <c r="C156" s="7"/>
      <c r="D156" s="8"/>
      <c r="E156" s="9"/>
      <c r="F156" s="10"/>
      <c r="G156" s="11"/>
      <c r="H156" s="12"/>
      <c r="I156" s="13"/>
    </row>
    <row r="157" spans="1:9" s="3" customFormat="1">
      <c r="A157" s="14"/>
      <c r="B157" s="15"/>
      <c r="C157" s="16"/>
      <c r="D157" s="17" t="s">
        <v>278</v>
      </c>
      <c r="E157" s="18"/>
      <c r="F157" s="19"/>
      <c r="G157" s="20" t="s">
        <v>18</v>
      </c>
      <c r="H157" s="21"/>
      <c r="I157" s="22"/>
    </row>
    <row r="158" spans="1:9" s="3" customFormat="1"/>
    <row r="159" spans="1:9" s="3" customFormat="1"/>
    <row r="160" spans="1:9" s="3" customFormat="1">
      <c r="A160" s="5" t="s">
        <v>86</v>
      </c>
      <c r="B160" s="6" t="s">
        <v>87</v>
      </c>
      <c r="C160" s="7"/>
      <c r="D160" s="8"/>
      <c r="E160" s="9"/>
      <c r="F160" s="10"/>
      <c r="G160" s="11"/>
      <c r="H160" s="12"/>
      <c r="I160" s="13"/>
    </row>
    <row r="161" spans="1:9" s="3" customFormat="1">
      <c r="A161" s="14"/>
      <c r="B161" s="15"/>
      <c r="C161" s="16"/>
      <c r="D161" s="17" t="s">
        <v>278</v>
      </c>
      <c r="E161" s="18"/>
      <c r="F161" s="19"/>
      <c r="G161" s="20" t="s">
        <v>18</v>
      </c>
      <c r="H161" s="21"/>
      <c r="I161" s="22"/>
    </row>
    <row r="162" spans="1:9" s="3" customFormat="1"/>
    <row r="163" spans="1:9" s="3" customFormat="1"/>
    <row r="164" spans="1:9" s="3" customFormat="1">
      <c r="A164" s="5" t="s">
        <v>88</v>
      </c>
      <c r="B164" s="6" t="s">
        <v>89</v>
      </c>
      <c r="C164" s="7"/>
      <c r="D164" s="8"/>
      <c r="E164" s="9"/>
      <c r="F164" s="10"/>
      <c r="G164" s="11"/>
      <c r="H164" s="12"/>
      <c r="I164" s="13"/>
    </row>
    <row r="165" spans="1:9" s="3" customFormat="1">
      <c r="A165" s="14"/>
      <c r="B165" s="15"/>
      <c r="C165" s="16"/>
      <c r="D165" s="17" t="s">
        <v>278</v>
      </c>
      <c r="E165" s="18"/>
      <c r="F165" s="19"/>
      <c r="G165" s="20" t="s">
        <v>18</v>
      </c>
      <c r="H165" s="21"/>
      <c r="I165" s="22"/>
    </row>
    <row r="166" spans="1:9" s="3" customFormat="1"/>
    <row r="167" spans="1:9" s="3" customFormat="1"/>
    <row r="168" spans="1:9" s="3" customFormat="1">
      <c r="A168" s="5" t="s">
        <v>90</v>
      </c>
      <c r="B168" s="6" t="s">
        <v>91</v>
      </c>
      <c r="C168" s="7"/>
      <c r="D168" s="8"/>
      <c r="E168" s="9"/>
      <c r="F168" s="10"/>
      <c r="G168" s="11"/>
      <c r="H168" s="12"/>
      <c r="I168" s="13"/>
    </row>
    <row r="169" spans="1:9" s="3" customFormat="1"/>
    <row r="170" spans="1:9" s="3" customFormat="1"/>
    <row r="171" spans="1:9" s="3" customFormat="1">
      <c r="A171" s="5" t="s">
        <v>92</v>
      </c>
      <c r="B171" s="6" t="s">
        <v>93</v>
      </c>
      <c r="C171" s="7"/>
      <c r="D171" s="8"/>
      <c r="E171" s="9"/>
      <c r="F171" s="10"/>
      <c r="G171" s="11"/>
      <c r="H171" s="12"/>
      <c r="I171" s="13"/>
    </row>
    <row r="172" spans="1:9" s="3" customFormat="1"/>
    <row r="173" spans="1:9" s="3" customFormat="1"/>
    <row r="174" spans="1:9" s="3" customFormat="1">
      <c r="A174" s="5" t="s">
        <v>94</v>
      </c>
      <c r="B174" s="6" t="s">
        <v>95</v>
      </c>
      <c r="C174" s="7"/>
      <c r="D174" s="8"/>
      <c r="E174" s="9"/>
      <c r="F174" s="10"/>
      <c r="G174" s="11"/>
      <c r="H174" s="12"/>
      <c r="I174" s="13"/>
    </row>
    <row r="175" spans="1:9" s="3" customFormat="1">
      <c r="A175" s="14"/>
      <c r="B175" s="15"/>
      <c r="C175" s="16"/>
      <c r="D175" s="17" t="s">
        <v>278</v>
      </c>
      <c r="E175" s="18"/>
      <c r="F175" s="19"/>
      <c r="G175" s="20" t="s">
        <v>18</v>
      </c>
      <c r="H175" s="21"/>
      <c r="I175" s="22"/>
    </row>
    <row r="176" spans="1:9" s="3" customFormat="1"/>
    <row r="177" spans="1:9" s="3" customFormat="1"/>
    <row r="178" spans="1:9" s="3" customFormat="1">
      <c r="A178" s="5" t="s">
        <v>96</v>
      </c>
      <c r="B178" s="6" t="s">
        <v>97</v>
      </c>
      <c r="C178" s="7"/>
      <c r="D178" s="8"/>
      <c r="E178" s="9"/>
      <c r="F178" s="10"/>
      <c r="G178" s="11"/>
      <c r="H178" s="12"/>
      <c r="I178" s="13"/>
    </row>
    <row r="179" spans="1:9" s="3" customFormat="1">
      <c r="A179" s="14"/>
      <c r="B179" s="15"/>
      <c r="C179" s="16"/>
      <c r="D179" s="17" t="s">
        <v>278</v>
      </c>
      <c r="E179" s="18"/>
      <c r="F179" s="19"/>
      <c r="G179" s="20" t="s">
        <v>18</v>
      </c>
      <c r="H179" s="21"/>
      <c r="I179" s="22"/>
    </row>
    <row r="180" spans="1:9" s="3" customFormat="1"/>
    <row r="181" spans="1:9" s="3" customFormat="1"/>
    <row r="182" spans="1:9" s="3" customFormat="1">
      <c r="A182" s="5" t="s">
        <v>98</v>
      </c>
      <c r="B182" s="6" t="s">
        <v>99</v>
      </c>
      <c r="C182" s="7"/>
      <c r="D182" s="8"/>
      <c r="E182" s="9"/>
      <c r="F182" s="10"/>
      <c r="G182" s="11"/>
      <c r="H182" s="12"/>
      <c r="I182" s="13"/>
    </row>
    <row r="183" spans="1:9" s="3" customFormat="1"/>
    <row r="184" spans="1:9" s="3" customFormat="1"/>
    <row r="185" spans="1:9" s="3" customFormat="1">
      <c r="A185" s="5" t="s">
        <v>100</v>
      </c>
      <c r="B185" s="6" t="s">
        <v>334</v>
      </c>
      <c r="C185" s="7"/>
      <c r="D185" s="8"/>
      <c r="E185" s="9"/>
      <c r="F185" s="10"/>
      <c r="G185" s="11"/>
      <c r="H185" s="12"/>
      <c r="I185" s="13"/>
    </row>
    <row r="186" spans="1:9" s="3" customFormat="1">
      <c r="A186" s="23"/>
      <c r="B186" s="24" t="s">
        <v>279</v>
      </c>
      <c r="C186" s="25"/>
      <c r="D186" s="26" t="s">
        <v>284</v>
      </c>
      <c r="E186" s="27"/>
      <c r="F186" s="28"/>
      <c r="G186" s="29" t="s">
        <v>280</v>
      </c>
      <c r="H186" s="30"/>
      <c r="I186" s="31" t="s">
        <v>281</v>
      </c>
    </row>
    <row r="187" spans="1:9" s="3" customFormat="1">
      <c r="A187" s="32"/>
      <c r="B187" s="33"/>
      <c r="C187" s="34"/>
      <c r="D187" s="35">
        <v>6</v>
      </c>
      <c r="E187" s="36"/>
      <c r="F187" s="37"/>
      <c r="G187" s="38"/>
      <c r="H187" s="39"/>
      <c r="I187" s="42">
        <f t="shared" ref="I187:I192" si="1">ROUND(PRODUCT(ROUND(PRODUCT(D187,E187,F187),0),G187,H187),0)</f>
        <v>6</v>
      </c>
    </row>
    <row r="188" spans="1:9" s="3" customFormat="1">
      <c r="A188" s="32"/>
      <c r="B188" s="33"/>
      <c r="C188" s="34"/>
      <c r="D188" s="35"/>
      <c r="E188" s="36"/>
      <c r="F188" s="37"/>
      <c r="G188" s="38"/>
      <c r="H188" s="39"/>
      <c r="I188" s="42">
        <f t="shared" si="1"/>
        <v>0</v>
      </c>
    </row>
    <row r="189" spans="1:9" s="3" customFormat="1">
      <c r="A189" s="32"/>
      <c r="B189" s="33"/>
      <c r="C189" s="34"/>
      <c r="D189" s="35"/>
      <c r="E189" s="36"/>
      <c r="F189" s="37"/>
      <c r="G189" s="38"/>
      <c r="H189" s="39"/>
      <c r="I189" s="42">
        <f t="shared" si="1"/>
        <v>0</v>
      </c>
    </row>
    <row r="190" spans="1:9" s="3" customFormat="1">
      <c r="A190" s="32"/>
      <c r="B190" s="33"/>
      <c r="C190" s="34"/>
      <c r="D190" s="35"/>
      <c r="E190" s="36"/>
      <c r="F190" s="37"/>
      <c r="G190" s="38"/>
      <c r="H190" s="39"/>
      <c r="I190" s="42">
        <f t="shared" si="1"/>
        <v>0</v>
      </c>
    </row>
    <row r="191" spans="1:9" s="3" customFormat="1">
      <c r="A191" s="32"/>
      <c r="B191" s="33"/>
      <c r="C191" s="34"/>
      <c r="D191" s="35"/>
      <c r="E191" s="36"/>
      <c r="F191" s="37"/>
      <c r="G191" s="38"/>
      <c r="H191" s="39"/>
      <c r="I191" s="42">
        <f t="shared" si="1"/>
        <v>0</v>
      </c>
    </row>
    <row r="192" spans="1:9" s="3" customFormat="1">
      <c r="A192" s="32"/>
      <c r="B192" s="33"/>
      <c r="C192" s="34"/>
      <c r="D192" s="35"/>
      <c r="E192" s="36"/>
      <c r="F192" s="37"/>
      <c r="G192" s="38"/>
      <c r="H192" s="39"/>
      <c r="I192" s="42">
        <f t="shared" si="1"/>
        <v>0</v>
      </c>
    </row>
    <row r="193" spans="1:9" s="3" customFormat="1">
      <c r="A193" s="14"/>
      <c r="B193" s="15"/>
      <c r="C193" s="16"/>
      <c r="D193" s="17" t="s">
        <v>278</v>
      </c>
      <c r="E193" s="18"/>
      <c r="F193" s="19"/>
      <c r="G193" s="20" t="s">
        <v>101</v>
      </c>
      <c r="H193" s="21" t="s">
        <v>102</v>
      </c>
      <c r="I193" s="22">
        <f>SUBTOTAL(9,I187:I192)</f>
        <v>6</v>
      </c>
    </row>
    <row r="194" spans="1:9" s="3" customFormat="1"/>
    <row r="195" spans="1:9" s="3" customFormat="1"/>
    <row r="196" spans="1:9" s="3" customFormat="1">
      <c r="A196" s="5" t="s">
        <v>103</v>
      </c>
      <c r="B196" s="6" t="s">
        <v>104</v>
      </c>
      <c r="C196" s="7"/>
      <c r="D196" s="8"/>
      <c r="E196" s="9"/>
      <c r="F196" s="10"/>
      <c r="G196" s="11"/>
      <c r="H196" s="12"/>
      <c r="I196" s="13"/>
    </row>
    <row r="197" spans="1:9" s="3" customFormat="1">
      <c r="A197" s="23"/>
      <c r="B197" s="24" t="s">
        <v>279</v>
      </c>
      <c r="C197" s="25"/>
      <c r="D197" s="26" t="s">
        <v>282</v>
      </c>
      <c r="E197" s="27" t="s">
        <v>283</v>
      </c>
      <c r="F197" s="28"/>
      <c r="G197" s="29" t="s">
        <v>280</v>
      </c>
      <c r="H197" s="30"/>
      <c r="I197" s="31" t="s">
        <v>281</v>
      </c>
    </row>
    <row r="198" spans="1:9" s="3" customFormat="1">
      <c r="A198" s="32"/>
      <c r="B198" s="33" t="s">
        <v>76</v>
      </c>
      <c r="C198" s="34"/>
      <c r="D198" s="35">
        <v>3.1</v>
      </c>
      <c r="E198" s="36">
        <v>1.6</v>
      </c>
      <c r="F198" s="37"/>
      <c r="G198" s="38">
        <v>1</v>
      </c>
      <c r="H198" s="39">
        <v>6</v>
      </c>
      <c r="I198" s="40">
        <f t="shared" ref="I198:I203" si="2">ROUND(PRODUCT(ROUND(PRODUCT(D198,E198,F198),2),G198,H198),2)</f>
        <v>29.76</v>
      </c>
    </row>
    <row r="199" spans="1:9" s="3" customFormat="1">
      <c r="A199" s="32"/>
      <c r="B199" s="33"/>
      <c r="C199" s="34"/>
      <c r="D199" s="35"/>
      <c r="E199" s="36"/>
      <c r="F199" s="37"/>
      <c r="G199" s="38"/>
      <c r="H199" s="39"/>
      <c r="I199" s="40">
        <f t="shared" si="2"/>
        <v>0</v>
      </c>
    </row>
    <row r="200" spans="1:9" s="3" customFormat="1">
      <c r="A200" s="32"/>
      <c r="B200" s="33"/>
      <c r="C200" s="34"/>
      <c r="D200" s="35"/>
      <c r="E200" s="36"/>
      <c r="F200" s="37"/>
      <c r="G200" s="38"/>
      <c r="H200" s="39"/>
      <c r="I200" s="40">
        <f t="shared" si="2"/>
        <v>0</v>
      </c>
    </row>
    <row r="201" spans="1:9" s="3" customFormat="1">
      <c r="A201" s="32"/>
      <c r="B201" s="33"/>
      <c r="C201" s="34"/>
      <c r="D201" s="35"/>
      <c r="E201" s="36"/>
      <c r="F201" s="37"/>
      <c r="G201" s="38"/>
      <c r="H201" s="39"/>
      <c r="I201" s="40">
        <f t="shared" si="2"/>
        <v>0</v>
      </c>
    </row>
    <row r="202" spans="1:9" s="3" customFormat="1">
      <c r="A202" s="32"/>
      <c r="B202" s="33"/>
      <c r="C202" s="34"/>
      <c r="D202" s="35"/>
      <c r="E202" s="36"/>
      <c r="F202" s="37"/>
      <c r="G202" s="38"/>
      <c r="H202" s="39"/>
      <c r="I202" s="40">
        <f t="shared" si="2"/>
        <v>0</v>
      </c>
    </row>
    <row r="203" spans="1:9" s="3" customFormat="1">
      <c r="A203" s="32"/>
      <c r="B203" s="33"/>
      <c r="C203" s="34"/>
      <c r="D203" s="35"/>
      <c r="E203" s="36"/>
      <c r="F203" s="37"/>
      <c r="G203" s="38"/>
      <c r="H203" s="39"/>
      <c r="I203" s="40">
        <f t="shared" si="2"/>
        <v>0</v>
      </c>
    </row>
    <row r="204" spans="1:9" s="3" customFormat="1">
      <c r="A204" s="14"/>
      <c r="B204" s="15"/>
      <c r="C204" s="16"/>
      <c r="D204" s="17" t="s">
        <v>278</v>
      </c>
      <c r="E204" s="18"/>
      <c r="F204" s="19"/>
      <c r="G204" s="20" t="s">
        <v>78</v>
      </c>
      <c r="H204" s="21" t="s">
        <v>105</v>
      </c>
      <c r="I204" s="41">
        <f>SUBTOTAL(9,I198:I203)</f>
        <v>29.76</v>
      </c>
    </row>
    <row r="205" spans="1:9" s="3" customFormat="1"/>
    <row r="206" spans="1:9" s="3" customFormat="1"/>
    <row r="207" spans="1:9" s="3" customFormat="1">
      <c r="A207" s="5" t="s">
        <v>106</v>
      </c>
      <c r="B207" s="6" t="s">
        <v>107</v>
      </c>
      <c r="C207" s="7"/>
      <c r="D207" s="8"/>
      <c r="E207" s="9"/>
      <c r="F207" s="10"/>
      <c r="G207" s="11"/>
      <c r="H207" s="12"/>
      <c r="I207" s="13"/>
    </row>
    <row r="208" spans="1:9" s="3" customFormat="1">
      <c r="A208" s="23"/>
      <c r="B208" s="24" t="s">
        <v>279</v>
      </c>
      <c r="C208" s="25"/>
      <c r="D208" s="26" t="s">
        <v>282</v>
      </c>
      <c r="E208" s="27" t="s">
        <v>283</v>
      </c>
      <c r="F208" s="28"/>
      <c r="G208" s="29" t="s">
        <v>280</v>
      </c>
      <c r="H208" s="30"/>
      <c r="I208" s="31" t="s">
        <v>281</v>
      </c>
    </row>
    <row r="209" spans="1:9" s="3" customFormat="1">
      <c r="A209" s="32"/>
      <c r="B209" s="33" t="s">
        <v>294</v>
      </c>
      <c r="C209" s="34"/>
      <c r="D209" s="35">
        <v>3.3</v>
      </c>
      <c r="E209" s="36"/>
      <c r="F209" s="37"/>
      <c r="G209" s="38">
        <v>2</v>
      </c>
      <c r="H209" s="39">
        <v>6</v>
      </c>
      <c r="I209" s="40">
        <f t="shared" ref="I209:I214" si="3">ROUND(PRODUCT(ROUND(PRODUCT(D209,E209,F209),2),G209,H209),2)</f>
        <v>39.6</v>
      </c>
    </row>
    <row r="210" spans="1:9" s="3" customFormat="1">
      <c r="A210" s="32"/>
      <c r="B210" s="33"/>
      <c r="C210" s="34"/>
      <c r="D210" s="35"/>
      <c r="E210" s="36"/>
      <c r="F210" s="37"/>
      <c r="G210" s="38"/>
      <c r="H210" s="39"/>
      <c r="I210" s="40">
        <f t="shared" si="3"/>
        <v>0</v>
      </c>
    </row>
    <row r="211" spans="1:9" s="3" customFormat="1">
      <c r="A211" s="32"/>
      <c r="B211" s="33"/>
      <c r="C211" s="34"/>
      <c r="D211" s="35"/>
      <c r="E211" s="36"/>
      <c r="F211" s="37"/>
      <c r="G211" s="38"/>
      <c r="H211" s="39"/>
      <c r="I211" s="40">
        <f t="shared" si="3"/>
        <v>0</v>
      </c>
    </row>
    <row r="212" spans="1:9" s="3" customFormat="1">
      <c r="A212" s="32"/>
      <c r="B212" s="33"/>
      <c r="C212" s="34"/>
      <c r="D212" s="35"/>
      <c r="E212" s="36"/>
      <c r="F212" s="37"/>
      <c r="G212" s="38"/>
      <c r="H212" s="39"/>
      <c r="I212" s="40">
        <f t="shared" si="3"/>
        <v>0</v>
      </c>
    </row>
    <row r="213" spans="1:9" s="3" customFormat="1">
      <c r="A213" s="32"/>
      <c r="B213" s="33"/>
      <c r="C213" s="34"/>
      <c r="D213" s="35"/>
      <c r="E213" s="36"/>
      <c r="F213" s="37"/>
      <c r="G213" s="38"/>
      <c r="H213" s="39"/>
      <c r="I213" s="40">
        <f t="shared" si="3"/>
        <v>0</v>
      </c>
    </row>
    <row r="214" spans="1:9" s="3" customFormat="1">
      <c r="A214" s="32"/>
      <c r="B214" s="33"/>
      <c r="C214" s="34"/>
      <c r="D214" s="35"/>
      <c r="E214" s="36"/>
      <c r="F214" s="37"/>
      <c r="G214" s="38"/>
      <c r="H214" s="39"/>
      <c r="I214" s="40">
        <f t="shared" si="3"/>
        <v>0</v>
      </c>
    </row>
    <row r="215" spans="1:9" s="3" customFormat="1">
      <c r="A215" s="14"/>
      <c r="B215" s="15"/>
      <c r="C215" s="16"/>
      <c r="D215" s="17" t="s">
        <v>278</v>
      </c>
      <c r="E215" s="18"/>
      <c r="F215" s="19"/>
      <c r="G215" s="20" t="s">
        <v>78</v>
      </c>
      <c r="H215" s="21" t="s">
        <v>105</v>
      </c>
      <c r="I215" s="41">
        <f>SUBTOTAL(9,I209:I214)</f>
        <v>39.6</v>
      </c>
    </row>
    <row r="216" spans="1:9" s="3" customFormat="1"/>
    <row r="217" spans="1:9" s="3" customFormat="1"/>
    <row r="218" spans="1:9" s="3" customFormat="1">
      <c r="A218" s="5" t="s">
        <v>108</v>
      </c>
      <c r="B218" s="6" t="s">
        <v>109</v>
      </c>
      <c r="C218" s="7"/>
      <c r="D218" s="8"/>
      <c r="E218" s="9"/>
      <c r="F218" s="10"/>
      <c r="G218" s="11"/>
      <c r="H218" s="12"/>
      <c r="I218" s="13"/>
    </row>
    <row r="219" spans="1:9" s="3" customFormat="1"/>
    <row r="220" spans="1:9" s="3" customFormat="1"/>
    <row r="221" spans="1:9" s="3" customFormat="1">
      <c r="A221" s="5" t="s">
        <v>110</v>
      </c>
      <c r="B221" s="6" t="s">
        <v>111</v>
      </c>
      <c r="C221" s="7"/>
      <c r="D221" s="8"/>
      <c r="E221" s="9"/>
      <c r="F221" s="10"/>
      <c r="G221" s="11"/>
      <c r="H221" s="12"/>
      <c r="I221" s="13"/>
    </row>
    <row r="222" spans="1:9" s="3" customFormat="1">
      <c r="A222" s="23"/>
      <c r="B222" s="24" t="s">
        <v>279</v>
      </c>
      <c r="C222" s="25"/>
      <c r="D222" s="26" t="s">
        <v>282</v>
      </c>
      <c r="E222" s="27" t="s">
        <v>283</v>
      </c>
      <c r="F222" s="28"/>
      <c r="G222" s="29" t="s">
        <v>280</v>
      </c>
      <c r="H222" s="30"/>
      <c r="I222" s="31" t="s">
        <v>281</v>
      </c>
    </row>
    <row r="223" spans="1:9" s="3" customFormat="1">
      <c r="A223" s="32"/>
      <c r="B223" s="33" t="s">
        <v>76</v>
      </c>
      <c r="C223" s="34"/>
      <c r="D223" s="35">
        <f>I147</f>
        <v>20.82</v>
      </c>
      <c r="E223" s="36"/>
      <c r="F223" s="37"/>
      <c r="G223" s="38"/>
      <c r="H223" s="39"/>
      <c r="I223" s="40">
        <f t="shared" ref="I223:I228" si="4">ROUND(PRODUCT(ROUND(PRODUCT(D223,E223,F223),2),G223,H223),2)</f>
        <v>20.82</v>
      </c>
    </row>
    <row r="224" spans="1:9" s="3" customFormat="1">
      <c r="A224" s="32"/>
      <c r="B224" s="33"/>
      <c r="C224" s="34"/>
      <c r="D224" s="35"/>
      <c r="E224" s="36"/>
      <c r="F224" s="37"/>
      <c r="G224" s="38"/>
      <c r="H224" s="39"/>
      <c r="I224" s="40">
        <f t="shared" si="4"/>
        <v>0</v>
      </c>
    </row>
    <row r="225" spans="1:9" s="3" customFormat="1">
      <c r="A225" s="32"/>
      <c r="B225" s="33"/>
      <c r="C225" s="34"/>
      <c r="D225" s="35"/>
      <c r="E225" s="36"/>
      <c r="F225" s="37"/>
      <c r="G225" s="38"/>
      <c r="H225" s="39"/>
      <c r="I225" s="40">
        <f t="shared" si="4"/>
        <v>0</v>
      </c>
    </row>
    <row r="226" spans="1:9" s="3" customFormat="1">
      <c r="A226" s="32"/>
      <c r="B226" s="33"/>
      <c r="C226" s="34"/>
      <c r="D226" s="35"/>
      <c r="E226" s="36"/>
      <c r="F226" s="37"/>
      <c r="G226" s="38"/>
      <c r="H226" s="39"/>
      <c r="I226" s="40">
        <f t="shared" si="4"/>
        <v>0</v>
      </c>
    </row>
    <row r="227" spans="1:9" s="3" customFormat="1">
      <c r="A227" s="32"/>
      <c r="B227" s="33"/>
      <c r="C227" s="34"/>
      <c r="D227" s="35"/>
      <c r="E227" s="36"/>
      <c r="F227" s="37"/>
      <c r="G227" s="38"/>
      <c r="H227" s="39"/>
      <c r="I227" s="40">
        <f t="shared" si="4"/>
        <v>0</v>
      </c>
    </row>
    <row r="228" spans="1:9" s="3" customFormat="1">
      <c r="A228" s="32"/>
      <c r="B228" s="33"/>
      <c r="C228" s="34"/>
      <c r="D228" s="35"/>
      <c r="E228" s="36"/>
      <c r="F228" s="37"/>
      <c r="G228" s="38"/>
      <c r="H228" s="39"/>
      <c r="I228" s="40">
        <f t="shared" si="4"/>
        <v>0</v>
      </c>
    </row>
    <row r="229" spans="1:9" s="3" customFormat="1">
      <c r="A229" s="14"/>
      <c r="B229" s="15"/>
      <c r="C229" s="16"/>
      <c r="D229" s="17" t="s">
        <v>278</v>
      </c>
      <c r="E229" s="18"/>
      <c r="F229" s="19"/>
      <c r="G229" s="20" t="s">
        <v>78</v>
      </c>
      <c r="H229" s="21" t="s">
        <v>105</v>
      </c>
      <c r="I229" s="41">
        <f>SUBTOTAL(9,I223:I228)</f>
        <v>20.82</v>
      </c>
    </row>
    <row r="230" spans="1:9" s="3" customFormat="1"/>
    <row r="231" spans="1:9" s="3" customFormat="1"/>
    <row r="232" spans="1:9" s="3" customFormat="1">
      <c r="A232" s="5" t="s">
        <v>112</v>
      </c>
      <c r="B232" s="6" t="s">
        <v>113</v>
      </c>
      <c r="C232" s="7"/>
      <c r="D232" s="8"/>
      <c r="E232" s="9"/>
      <c r="F232" s="10"/>
      <c r="G232" s="11"/>
      <c r="H232" s="12"/>
      <c r="I232" s="13"/>
    </row>
    <row r="233" spans="1:9" s="3" customFormat="1">
      <c r="A233" s="14"/>
      <c r="B233" s="15"/>
      <c r="C233" s="16"/>
      <c r="D233" s="17" t="s">
        <v>278</v>
      </c>
      <c r="E233" s="18"/>
      <c r="F233" s="19"/>
      <c r="G233" s="20" t="s">
        <v>18</v>
      </c>
      <c r="H233" s="21"/>
      <c r="I233" s="22"/>
    </row>
    <row r="234" spans="1:9" s="3" customFormat="1"/>
    <row r="235" spans="1:9" s="3" customFormat="1"/>
    <row r="236" spans="1:9" s="3" customFormat="1">
      <c r="A236" s="5" t="s">
        <v>114</v>
      </c>
      <c r="B236" s="6" t="s">
        <v>115</v>
      </c>
      <c r="C236" s="7"/>
      <c r="D236" s="8"/>
      <c r="E236" s="9"/>
      <c r="F236" s="10"/>
      <c r="G236" s="11"/>
      <c r="H236" s="12"/>
      <c r="I236" s="13"/>
    </row>
    <row r="237" spans="1:9" s="3" customFormat="1"/>
    <row r="238" spans="1:9" s="3" customFormat="1"/>
    <row r="239" spans="1:9" s="3" customFormat="1">
      <c r="A239" s="5" t="s">
        <v>116</v>
      </c>
      <c r="B239" s="6" t="s">
        <v>117</v>
      </c>
      <c r="C239" s="7"/>
      <c r="D239" s="8"/>
      <c r="E239" s="9"/>
      <c r="F239" s="10"/>
      <c r="G239" s="11"/>
      <c r="H239" s="12"/>
      <c r="I239" s="13"/>
    </row>
    <row r="240" spans="1:9" s="3" customFormat="1"/>
    <row r="241" spans="1:9" s="3" customFormat="1"/>
    <row r="242" spans="1:9" s="3" customFormat="1">
      <c r="A242" s="5" t="s">
        <v>118</v>
      </c>
      <c r="B242" s="6" t="s">
        <v>335</v>
      </c>
      <c r="C242" s="7"/>
      <c r="D242" s="8"/>
      <c r="E242" s="9"/>
      <c r="F242" s="10"/>
      <c r="G242" s="11"/>
      <c r="H242" s="12"/>
      <c r="I242" s="13"/>
    </row>
    <row r="243" spans="1:9" s="3" customFormat="1"/>
    <row r="244" spans="1:9" s="3" customFormat="1"/>
    <row r="245" spans="1:9" s="3" customFormat="1">
      <c r="A245" s="5" t="s">
        <v>119</v>
      </c>
      <c r="B245" s="6" t="s">
        <v>336</v>
      </c>
      <c r="C245" s="7"/>
      <c r="D245" s="8"/>
      <c r="E245" s="9"/>
      <c r="F245" s="10"/>
      <c r="G245" s="11"/>
      <c r="H245" s="12"/>
      <c r="I245" s="13"/>
    </row>
    <row r="246" spans="1:9" s="3" customFormat="1"/>
    <row r="247" spans="1:9" s="3" customFormat="1"/>
    <row r="248" spans="1:9" s="3" customFormat="1">
      <c r="A248" s="5" t="s">
        <v>120</v>
      </c>
      <c r="B248" s="6" t="s">
        <v>337</v>
      </c>
      <c r="C248" s="7"/>
      <c r="D248" s="8"/>
      <c r="E248" s="9"/>
      <c r="F248" s="10"/>
      <c r="G248" s="11"/>
      <c r="H248" s="12"/>
      <c r="I248" s="13"/>
    </row>
    <row r="249" spans="1:9" s="3" customFormat="1">
      <c r="A249" s="23"/>
      <c r="B249" s="24" t="s">
        <v>279</v>
      </c>
      <c r="C249" s="25"/>
      <c r="D249" s="26" t="s">
        <v>282</v>
      </c>
      <c r="E249" s="27" t="s">
        <v>283</v>
      </c>
      <c r="F249" s="28"/>
      <c r="G249" s="29" t="s">
        <v>280</v>
      </c>
      <c r="H249" s="30"/>
      <c r="I249" s="31" t="s">
        <v>281</v>
      </c>
    </row>
    <row r="250" spans="1:9" s="3" customFormat="1">
      <c r="A250" s="32"/>
      <c r="B250" s="33"/>
      <c r="C250" s="33"/>
      <c r="D250" s="35"/>
      <c r="E250" s="36"/>
      <c r="F250" s="37"/>
      <c r="G250" s="38"/>
      <c r="H250" s="39"/>
      <c r="I250" s="40">
        <f t="shared" ref="I250:I255" si="5">ROUND(PRODUCT(ROUND(PRODUCT(D250,E250,F250),2),G250,H250),2)</f>
        <v>0</v>
      </c>
    </row>
    <row r="251" spans="1:9" s="3" customFormat="1">
      <c r="A251" s="32"/>
      <c r="B251" s="33"/>
      <c r="C251" s="34"/>
      <c r="D251" s="35">
        <v>4.18</v>
      </c>
      <c r="E251" s="36">
        <v>32.49</v>
      </c>
      <c r="F251" s="37"/>
      <c r="G251" s="38">
        <v>2</v>
      </c>
      <c r="H251" s="39"/>
      <c r="I251" s="40">
        <f t="shared" si="5"/>
        <v>271.62</v>
      </c>
    </row>
    <row r="252" spans="1:9" s="3" customFormat="1">
      <c r="A252" s="32"/>
      <c r="B252" s="33"/>
      <c r="C252" s="34"/>
      <c r="D252" s="35"/>
      <c r="E252" s="36"/>
      <c r="F252" s="37"/>
      <c r="G252" s="38"/>
      <c r="H252" s="39"/>
      <c r="I252" s="40">
        <f t="shared" si="5"/>
        <v>0</v>
      </c>
    </row>
    <row r="253" spans="1:9" s="3" customFormat="1">
      <c r="A253" s="32"/>
      <c r="B253" s="33"/>
      <c r="C253" s="34"/>
      <c r="D253" s="35"/>
      <c r="E253" s="36"/>
      <c r="F253" s="37"/>
      <c r="G253" s="38"/>
      <c r="H253" s="39"/>
      <c r="I253" s="40">
        <f t="shared" si="5"/>
        <v>0</v>
      </c>
    </row>
    <row r="254" spans="1:9" s="3" customFormat="1">
      <c r="A254" s="32"/>
      <c r="B254" s="33"/>
      <c r="C254" s="34"/>
      <c r="D254" s="35"/>
      <c r="E254" s="36"/>
      <c r="F254" s="37"/>
      <c r="G254" s="38"/>
      <c r="H254" s="39"/>
      <c r="I254" s="40">
        <f t="shared" si="5"/>
        <v>0</v>
      </c>
    </row>
    <row r="255" spans="1:9" s="3" customFormat="1">
      <c r="A255" s="32"/>
      <c r="B255" s="33"/>
      <c r="C255" s="34"/>
      <c r="D255" s="35"/>
      <c r="E255" s="36"/>
      <c r="F255" s="37"/>
      <c r="G255" s="38"/>
      <c r="H255" s="39"/>
      <c r="I255" s="40">
        <f t="shared" si="5"/>
        <v>0</v>
      </c>
    </row>
    <row r="256" spans="1:9" s="3" customFormat="1">
      <c r="A256" s="14"/>
      <c r="B256" s="15"/>
      <c r="C256" s="16"/>
      <c r="D256" s="17" t="s">
        <v>278</v>
      </c>
      <c r="E256" s="18"/>
      <c r="F256" s="19"/>
      <c r="G256" s="20" t="s">
        <v>78</v>
      </c>
      <c r="H256" s="21" t="s">
        <v>105</v>
      </c>
      <c r="I256" s="41">
        <f>SUBTOTAL(9,I250:I255)</f>
        <v>271.62</v>
      </c>
    </row>
    <row r="257" spans="1:9" s="3" customFormat="1"/>
    <row r="258" spans="1:9" s="3" customFormat="1"/>
    <row r="259" spans="1:9" s="3" customFormat="1">
      <c r="A259" s="5" t="s">
        <v>121</v>
      </c>
      <c r="B259" s="6" t="s">
        <v>338</v>
      </c>
      <c r="C259" s="7"/>
      <c r="D259" s="8"/>
      <c r="E259" s="9"/>
      <c r="F259" s="10"/>
      <c r="G259" s="11"/>
      <c r="H259" s="12"/>
      <c r="I259" s="13"/>
    </row>
    <row r="260" spans="1:9" s="3" customFormat="1">
      <c r="A260" s="23"/>
      <c r="B260" s="24" t="s">
        <v>279</v>
      </c>
      <c r="C260" s="25"/>
      <c r="D260" s="26" t="s">
        <v>282</v>
      </c>
      <c r="E260" s="27" t="s">
        <v>283</v>
      </c>
      <c r="F260" s="28"/>
      <c r="G260" s="29" t="s">
        <v>280</v>
      </c>
      <c r="H260" s="30"/>
      <c r="I260" s="31" t="s">
        <v>281</v>
      </c>
    </row>
    <row r="261" spans="1:9" s="3" customFormat="1">
      <c r="A261" s="32"/>
      <c r="B261" s="33"/>
      <c r="C261" s="34" t="s">
        <v>106</v>
      </c>
      <c r="D261" s="35">
        <f>I215</f>
        <v>39.6</v>
      </c>
      <c r="E261" s="36"/>
      <c r="F261" s="37"/>
      <c r="G261" s="38"/>
      <c r="H261" s="39"/>
      <c r="I261" s="40">
        <f t="shared" ref="I261:I266" si="6">ROUND(PRODUCT(ROUND(PRODUCT(D261,E261,F261),2),G261,H261),2)</f>
        <v>39.6</v>
      </c>
    </row>
    <row r="262" spans="1:9" s="3" customFormat="1">
      <c r="A262" s="32"/>
      <c r="B262" s="33"/>
      <c r="C262" s="34"/>
      <c r="D262" s="35"/>
      <c r="E262" s="36"/>
      <c r="F262" s="37"/>
      <c r="G262" s="38"/>
      <c r="H262" s="39"/>
      <c r="I262" s="40">
        <f t="shared" si="6"/>
        <v>0</v>
      </c>
    </row>
    <row r="263" spans="1:9" s="3" customFormat="1">
      <c r="A263" s="32"/>
      <c r="B263" s="33"/>
      <c r="C263" s="34"/>
      <c r="D263" s="35"/>
      <c r="E263" s="36"/>
      <c r="F263" s="37"/>
      <c r="G263" s="38"/>
      <c r="H263" s="39"/>
      <c r="I263" s="40">
        <f t="shared" si="6"/>
        <v>0</v>
      </c>
    </row>
    <row r="264" spans="1:9" s="3" customFormat="1">
      <c r="A264" s="32"/>
      <c r="B264" s="33"/>
      <c r="C264" s="34"/>
      <c r="D264" s="35"/>
      <c r="E264" s="36"/>
      <c r="F264" s="37"/>
      <c r="G264" s="38"/>
      <c r="H264" s="39"/>
      <c r="I264" s="40">
        <f t="shared" si="6"/>
        <v>0</v>
      </c>
    </row>
    <row r="265" spans="1:9" s="3" customFormat="1">
      <c r="A265" s="32"/>
      <c r="B265" s="33"/>
      <c r="C265" s="34"/>
      <c r="D265" s="35"/>
      <c r="E265" s="36"/>
      <c r="F265" s="37"/>
      <c r="G265" s="38"/>
      <c r="H265" s="39"/>
      <c r="I265" s="40">
        <f t="shared" si="6"/>
        <v>0</v>
      </c>
    </row>
    <row r="266" spans="1:9" s="3" customFormat="1">
      <c r="A266" s="32"/>
      <c r="B266" s="33"/>
      <c r="C266" s="34"/>
      <c r="D266" s="35"/>
      <c r="E266" s="36"/>
      <c r="F266" s="37"/>
      <c r="G266" s="38"/>
      <c r="H266" s="39"/>
      <c r="I266" s="40">
        <f t="shared" si="6"/>
        <v>0</v>
      </c>
    </row>
    <row r="267" spans="1:9" s="3" customFormat="1">
      <c r="A267" s="14"/>
      <c r="B267" s="15"/>
      <c r="C267" s="16"/>
      <c r="D267" s="17" t="s">
        <v>278</v>
      </c>
      <c r="E267" s="18"/>
      <c r="F267" s="19"/>
      <c r="G267" s="20" t="s">
        <v>78</v>
      </c>
      <c r="H267" s="21" t="s">
        <v>105</v>
      </c>
      <c r="I267" s="41">
        <f>SUBTOTAL(9,I261:I266)</f>
        <v>39.6</v>
      </c>
    </row>
    <row r="268" spans="1:9" s="3" customFormat="1"/>
    <row r="269" spans="1:9" s="3" customFormat="1"/>
    <row r="270" spans="1:9" s="3" customFormat="1">
      <c r="A270" s="5" t="s">
        <v>122</v>
      </c>
      <c r="B270" s="6" t="s">
        <v>123</v>
      </c>
      <c r="C270" s="7"/>
      <c r="D270" s="8"/>
      <c r="E270" s="9"/>
      <c r="F270" s="10"/>
      <c r="G270" s="11"/>
      <c r="H270" s="12"/>
      <c r="I270" s="13"/>
    </row>
    <row r="271" spans="1:9" s="3" customFormat="1"/>
    <row r="272" spans="1:9" s="3" customFormat="1"/>
    <row r="273" spans="1:9" s="3" customFormat="1">
      <c r="A273" s="5" t="s">
        <v>124</v>
      </c>
      <c r="B273" s="6" t="s">
        <v>125</v>
      </c>
      <c r="C273" s="7"/>
      <c r="D273" s="8"/>
      <c r="E273" s="9"/>
      <c r="F273" s="10"/>
      <c r="G273" s="11"/>
      <c r="H273" s="12"/>
      <c r="I273" s="13"/>
    </row>
    <row r="274" spans="1:9" s="3" customFormat="1">
      <c r="A274" s="23"/>
      <c r="B274" s="24" t="s">
        <v>279</v>
      </c>
      <c r="C274" s="25"/>
      <c r="D274" s="26" t="s">
        <v>282</v>
      </c>
      <c r="E274" s="27" t="s">
        <v>283</v>
      </c>
      <c r="F274" s="28"/>
      <c r="G274" s="29" t="s">
        <v>280</v>
      </c>
      <c r="H274" s="30"/>
      <c r="I274" s="31" t="s">
        <v>281</v>
      </c>
    </row>
    <row r="275" spans="1:9" s="3" customFormat="1">
      <c r="A275" s="32"/>
      <c r="B275" s="33"/>
      <c r="C275" s="34" t="s">
        <v>295</v>
      </c>
      <c r="D275" s="35">
        <f>I256</f>
        <v>271.62</v>
      </c>
      <c r="E275" s="36"/>
      <c r="F275" s="37"/>
      <c r="G275" s="38"/>
      <c r="H275" s="39"/>
      <c r="I275" s="40">
        <f t="shared" ref="I275:I280" si="7">ROUND(PRODUCT(ROUND(PRODUCT(D275,E275,F275),2),G275,H275),2)</f>
        <v>271.62</v>
      </c>
    </row>
    <row r="276" spans="1:9" s="3" customFormat="1">
      <c r="A276" s="32"/>
      <c r="B276" s="33"/>
      <c r="C276" s="34" t="s">
        <v>296</v>
      </c>
      <c r="D276" s="35">
        <f>I267</f>
        <v>39.6</v>
      </c>
      <c r="E276" s="36"/>
      <c r="F276" s="37"/>
      <c r="G276" s="38"/>
      <c r="H276" s="39"/>
      <c r="I276" s="40">
        <f t="shared" si="7"/>
        <v>39.6</v>
      </c>
    </row>
    <row r="277" spans="1:9" s="3" customFormat="1">
      <c r="A277" s="32"/>
      <c r="B277" s="33"/>
      <c r="C277" s="34"/>
      <c r="D277" s="35"/>
      <c r="E277" s="36"/>
      <c r="F277" s="37"/>
      <c r="G277" s="38"/>
      <c r="H277" s="39"/>
      <c r="I277" s="40">
        <f t="shared" si="7"/>
        <v>0</v>
      </c>
    </row>
    <row r="278" spans="1:9" s="3" customFormat="1">
      <c r="A278" s="32"/>
      <c r="B278" s="33"/>
      <c r="C278" s="34"/>
      <c r="D278" s="35"/>
      <c r="E278" s="36"/>
      <c r="F278" s="37"/>
      <c r="G278" s="38"/>
      <c r="H278" s="39"/>
      <c r="I278" s="40">
        <f t="shared" si="7"/>
        <v>0</v>
      </c>
    </row>
    <row r="279" spans="1:9" s="3" customFormat="1">
      <c r="A279" s="32"/>
      <c r="B279" s="33"/>
      <c r="C279" s="34"/>
      <c r="D279" s="35"/>
      <c r="E279" s="36"/>
      <c r="F279" s="37"/>
      <c r="G279" s="38"/>
      <c r="H279" s="39"/>
      <c r="I279" s="40">
        <f t="shared" si="7"/>
        <v>0</v>
      </c>
    </row>
    <row r="280" spans="1:9" s="3" customFormat="1">
      <c r="A280" s="32"/>
      <c r="B280" s="33"/>
      <c r="C280" s="34"/>
      <c r="D280" s="35"/>
      <c r="E280" s="36"/>
      <c r="F280" s="37"/>
      <c r="G280" s="38"/>
      <c r="H280" s="39"/>
      <c r="I280" s="40">
        <f t="shared" si="7"/>
        <v>0</v>
      </c>
    </row>
    <row r="281" spans="1:9" s="3" customFormat="1">
      <c r="A281" s="14"/>
      <c r="B281" s="15"/>
      <c r="C281" s="16"/>
      <c r="D281" s="17" t="s">
        <v>278</v>
      </c>
      <c r="E281" s="18"/>
      <c r="F281" s="19"/>
      <c r="G281" s="20" t="s">
        <v>78</v>
      </c>
      <c r="H281" s="21" t="s">
        <v>105</v>
      </c>
      <c r="I281" s="41">
        <f>SUBTOTAL(9,I275:I280)</f>
        <v>311.22000000000003</v>
      </c>
    </row>
    <row r="282" spans="1:9" s="3" customFormat="1"/>
    <row r="283" spans="1:9" s="3" customFormat="1"/>
    <row r="284" spans="1:9" s="3" customFormat="1">
      <c r="A284" s="5" t="s">
        <v>126</v>
      </c>
      <c r="B284" s="6" t="s">
        <v>127</v>
      </c>
      <c r="C284" s="7"/>
      <c r="D284" s="8"/>
      <c r="E284" s="9"/>
      <c r="F284" s="10"/>
      <c r="G284" s="11"/>
      <c r="H284" s="12"/>
      <c r="I284" s="13"/>
    </row>
    <row r="285" spans="1:9" s="3" customFormat="1"/>
    <row r="286" spans="1:9" s="3" customFormat="1"/>
    <row r="287" spans="1:9" s="3" customFormat="1">
      <c r="A287" s="5" t="s">
        <v>128</v>
      </c>
      <c r="B287" s="6" t="s">
        <v>129</v>
      </c>
      <c r="C287" s="7"/>
      <c r="D287" s="8"/>
      <c r="E287" s="9"/>
      <c r="F287" s="10"/>
      <c r="G287" s="11"/>
      <c r="H287" s="12"/>
      <c r="I287" s="13"/>
    </row>
    <row r="288" spans="1:9" s="3" customFormat="1"/>
    <row r="289" spans="1:9" s="3" customFormat="1"/>
    <row r="290" spans="1:9" s="3" customFormat="1">
      <c r="A290" s="5" t="s">
        <v>130</v>
      </c>
      <c r="B290" s="6" t="s">
        <v>131</v>
      </c>
      <c r="C290" s="7"/>
      <c r="D290" s="8"/>
      <c r="E290" s="9"/>
      <c r="F290" s="10"/>
      <c r="G290" s="11"/>
      <c r="H290" s="12"/>
      <c r="I290" s="13"/>
    </row>
    <row r="291" spans="1:9" s="3" customFormat="1"/>
    <row r="292" spans="1:9" s="3" customFormat="1"/>
    <row r="293" spans="1:9" s="3" customFormat="1">
      <c r="A293" s="5" t="s">
        <v>132</v>
      </c>
      <c r="B293" s="6" t="s">
        <v>133</v>
      </c>
      <c r="C293" s="7"/>
      <c r="D293" s="8"/>
      <c r="E293" s="9"/>
      <c r="F293" s="10"/>
      <c r="G293" s="11"/>
      <c r="H293" s="12"/>
      <c r="I293" s="13"/>
    </row>
    <row r="294" spans="1:9" s="3" customFormat="1"/>
    <row r="295" spans="1:9" s="3" customFormat="1"/>
    <row r="296" spans="1:9" s="3" customFormat="1">
      <c r="A296" s="5" t="s">
        <v>134</v>
      </c>
      <c r="B296" s="6" t="s">
        <v>135</v>
      </c>
      <c r="C296" s="7"/>
      <c r="D296" s="8"/>
      <c r="E296" s="9"/>
      <c r="F296" s="10"/>
      <c r="G296" s="11"/>
      <c r="H296" s="12"/>
      <c r="I296" s="13"/>
    </row>
    <row r="297" spans="1:9" s="3" customFormat="1"/>
    <row r="298" spans="1:9" s="3" customFormat="1"/>
    <row r="299" spans="1:9" s="3" customFormat="1">
      <c r="A299" s="5" t="s">
        <v>136</v>
      </c>
      <c r="B299" s="6" t="s">
        <v>137</v>
      </c>
      <c r="C299" s="7"/>
      <c r="D299" s="8"/>
      <c r="E299" s="9"/>
      <c r="F299" s="10"/>
      <c r="G299" s="11"/>
      <c r="H299" s="12"/>
      <c r="I299" s="13"/>
    </row>
    <row r="300" spans="1:9" s="3" customFormat="1">
      <c r="A300" s="23"/>
      <c r="B300" s="24" t="s">
        <v>279</v>
      </c>
      <c r="C300" s="25"/>
      <c r="D300" s="26" t="s">
        <v>282</v>
      </c>
      <c r="E300" s="27" t="s">
        <v>283</v>
      </c>
      <c r="F300" s="28"/>
      <c r="G300" s="29" t="s">
        <v>280</v>
      </c>
      <c r="H300" s="30"/>
      <c r="I300" s="31" t="s">
        <v>281</v>
      </c>
    </row>
    <row r="301" spans="1:9" s="3" customFormat="1">
      <c r="A301" s="32"/>
      <c r="B301" s="33" t="s">
        <v>76</v>
      </c>
      <c r="C301" s="34"/>
      <c r="D301" s="35">
        <f>I147</f>
        <v>20.82</v>
      </c>
      <c r="E301" s="36"/>
      <c r="F301" s="37"/>
      <c r="G301" s="38"/>
      <c r="H301" s="39"/>
      <c r="I301" s="40">
        <f t="shared" ref="I301:I306" si="8">ROUND(PRODUCT(ROUND(PRODUCT(D301,E301,F301),2),G301,H301),2)</f>
        <v>20.82</v>
      </c>
    </row>
    <row r="302" spans="1:9" s="3" customFormat="1">
      <c r="A302" s="32"/>
      <c r="B302" s="33"/>
      <c r="C302" s="34"/>
      <c r="D302" s="35"/>
      <c r="E302" s="36"/>
      <c r="F302" s="37"/>
      <c r="G302" s="38"/>
      <c r="H302" s="39"/>
      <c r="I302" s="40">
        <f t="shared" si="8"/>
        <v>0</v>
      </c>
    </row>
    <row r="303" spans="1:9" s="3" customFormat="1">
      <c r="A303" s="32"/>
      <c r="B303" s="33"/>
      <c r="C303" s="34"/>
      <c r="D303" s="35"/>
      <c r="E303" s="36"/>
      <c r="F303" s="37"/>
      <c r="G303" s="38"/>
      <c r="H303" s="39"/>
      <c r="I303" s="40">
        <f t="shared" si="8"/>
        <v>0</v>
      </c>
    </row>
    <row r="304" spans="1:9" s="3" customFormat="1">
      <c r="A304" s="32"/>
      <c r="B304" s="33"/>
      <c r="C304" s="34"/>
      <c r="D304" s="35"/>
      <c r="E304" s="36"/>
      <c r="F304" s="37"/>
      <c r="G304" s="38"/>
      <c r="H304" s="39"/>
      <c r="I304" s="40">
        <f t="shared" si="8"/>
        <v>0</v>
      </c>
    </row>
    <row r="305" spans="1:9" s="3" customFormat="1">
      <c r="A305" s="32"/>
      <c r="B305" s="33"/>
      <c r="C305" s="34"/>
      <c r="D305" s="35"/>
      <c r="E305" s="36"/>
      <c r="F305" s="37"/>
      <c r="G305" s="38"/>
      <c r="H305" s="39"/>
      <c r="I305" s="40">
        <f t="shared" si="8"/>
        <v>0</v>
      </c>
    </row>
    <row r="306" spans="1:9" s="3" customFormat="1">
      <c r="A306" s="32"/>
      <c r="B306" s="33"/>
      <c r="C306" s="34"/>
      <c r="D306" s="35"/>
      <c r="E306" s="36"/>
      <c r="F306" s="37"/>
      <c r="G306" s="38"/>
      <c r="H306" s="39"/>
      <c r="I306" s="40">
        <f t="shared" si="8"/>
        <v>0</v>
      </c>
    </row>
    <row r="307" spans="1:9" s="3" customFormat="1">
      <c r="A307" s="14"/>
      <c r="B307" s="15"/>
      <c r="C307" s="16"/>
      <c r="D307" s="17" t="s">
        <v>278</v>
      </c>
      <c r="E307" s="18"/>
      <c r="F307" s="19"/>
      <c r="G307" s="20" t="s">
        <v>78</v>
      </c>
      <c r="H307" s="21" t="s">
        <v>105</v>
      </c>
      <c r="I307" s="41">
        <f>SUBTOTAL(9,I301:I306)</f>
        <v>20.82</v>
      </c>
    </row>
    <row r="308" spans="1:9" s="3" customFormat="1"/>
    <row r="309" spans="1:9" s="3" customFormat="1"/>
    <row r="310" spans="1:9" s="3" customFormat="1">
      <c r="A310" s="5" t="s">
        <v>138</v>
      </c>
      <c r="B310" s="6" t="s">
        <v>139</v>
      </c>
      <c r="C310" s="7"/>
      <c r="D310" s="8"/>
      <c r="E310" s="9"/>
      <c r="F310" s="10"/>
      <c r="G310" s="11"/>
      <c r="H310" s="12"/>
      <c r="I310" s="13"/>
    </row>
    <row r="311" spans="1:9" s="3" customFormat="1">
      <c r="A311" s="23"/>
      <c r="B311" s="24" t="s">
        <v>279</v>
      </c>
      <c r="C311" s="25"/>
      <c r="D311" s="26" t="s">
        <v>282</v>
      </c>
      <c r="E311" s="27"/>
      <c r="F311" s="28"/>
      <c r="G311" s="29" t="s">
        <v>280</v>
      </c>
      <c r="H311" s="30"/>
      <c r="I311" s="31" t="s">
        <v>281</v>
      </c>
    </row>
    <row r="312" spans="1:9" s="3" customFormat="1">
      <c r="A312" s="32"/>
      <c r="B312" s="33"/>
      <c r="C312" s="34"/>
      <c r="D312" s="35">
        <v>3.16</v>
      </c>
      <c r="E312" s="36"/>
      <c r="F312" s="37"/>
      <c r="G312" s="38"/>
      <c r="H312" s="39">
        <v>12</v>
      </c>
      <c r="I312" s="40">
        <f t="shared" ref="I312:I317" si="9">ROUND(PRODUCT(ROUND(PRODUCT(D312,E312,F312),2),G312,H312),2)</f>
        <v>37.92</v>
      </c>
    </row>
    <row r="313" spans="1:9" s="3" customFormat="1">
      <c r="A313" s="32"/>
      <c r="B313" s="33"/>
      <c r="C313" s="34"/>
      <c r="D313" s="35"/>
      <c r="E313" s="36"/>
      <c r="F313" s="37"/>
      <c r="G313" s="38"/>
      <c r="H313" s="39"/>
      <c r="I313" s="40">
        <f t="shared" si="9"/>
        <v>0</v>
      </c>
    </row>
    <row r="314" spans="1:9" s="3" customFormat="1">
      <c r="A314" s="32"/>
      <c r="B314" s="33"/>
      <c r="C314" s="34"/>
      <c r="D314" s="35"/>
      <c r="E314" s="36"/>
      <c r="F314" s="37"/>
      <c r="G314" s="38"/>
      <c r="H314" s="39"/>
      <c r="I314" s="40">
        <f t="shared" si="9"/>
        <v>0</v>
      </c>
    </row>
    <row r="315" spans="1:9" s="3" customFormat="1">
      <c r="A315" s="32"/>
      <c r="B315" s="33"/>
      <c r="C315" s="34"/>
      <c r="D315" s="35"/>
      <c r="E315" s="36"/>
      <c r="F315" s="37"/>
      <c r="G315" s="38"/>
      <c r="H315" s="39"/>
      <c r="I315" s="40">
        <f t="shared" si="9"/>
        <v>0</v>
      </c>
    </row>
    <row r="316" spans="1:9" s="3" customFormat="1">
      <c r="A316" s="32"/>
      <c r="B316" s="33"/>
      <c r="C316" s="34"/>
      <c r="D316" s="35"/>
      <c r="E316" s="36"/>
      <c r="F316" s="37"/>
      <c r="G316" s="38"/>
      <c r="H316" s="39"/>
      <c r="I316" s="40">
        <f t="shared" si="9"/>
        <v>0</v>
      </c>
    </row>
    <row r="317" spans="1:9" s="3" customFormat="1">
      <c r="A317" s="32"/>
      <c r="B317" s="33"/>
      <c r="C317" s="34"/>
      <c r="D317" s="35"/>
      <c r="E317" s="36"/>
      <c r="F317" s="37"/>
      <c r="G317" s="38"/>
      <c r="H317" s="39"/>
      <c r="I317" s="40">
        <f t="shared" si="9"/>
        <v>0</v>
      </c>
    </row>
    <row r="318" spans="1:9" s="3" customFormat="1">
      <c r="A318" s="14"/>
      <c r="B318" s="15"/>
      <c r="C318" s="16"/>
      <c r="D318" s="17" t="s">
        <v>278</v>
      </c>
      <c r="E318" s="18"/>
      <c r="F318" s="19"/>
      <c r="G318" s="20" t="s">
        <v>78</v>
      </c>
      <c r="H318" s="21" t="s">
        <v>140</v>
      </c>
      <c r="I318" s="41">
        <f>SUBTOTAL(9,I312:I317)</f>
        <v>37.92</v>
      </c>
    </row>
    <row r="319" spans="1:9" s="3" customFormat="1"/>
    <row r="320" spans="1:9" s="3" customFormat="1"/>
    <row r="321" spans="1:9" s="3" customFormat="1">
      <c r="A321" s="5" t="s">
        <v>141</v>
      </c>
      <c r="B321" s="6" t="s">
        <v>142</v>
      </c>
      <c r="C321" s="7"/>
      <c r="D321" s="8"/>
      <c r="E321" s="9"/>
      <c r="F321" s="10"/>
      <c r="G321" s="11"/>
      <c r="H321" s="12"/>
      <c r="I321" s="13"/>
    </row>
    <row r="322" spans="1:9" s="3" customFormat="1">
      <c r="A322" s="23"/>
      <c r="B322" s="24" t="s">
        <v>279</v>
      </c>
      <c r="C322" s="25"/>
      <c r="D322" s="26" t="s">
        <v>284</v>
      </c>
      <c r="E322" s="27"/>
      <c r="F322" s="28"/>
      <c r="G322" s="29" t="s">
        <v>280</v>
      </c>
      <c r="H322" s="30"/>
      <c r="I322" s="31" t="s">
        <v>281</v>
      </c>
    </row>
    <row r="323" spans="1:9" s="3" customFormat="1">
      <c r="A323" s="32"/>
      <c r="B323" s="33"/>
      <c r="C323" s="34"/>
      <c r="D323" s="35"/>
      <c r="E323" s="36"/>
      <c r="F323" s="37"/>
      <c r="G323" s="38"/>
      <c r="H323" s="39"/>
      <c r="I323" s="42">
        <f t="shared" ref="I323:I328" si="10">ROUND(PRODUCT(ROUND(PRODUCT(D323,E323,F323),0),G323,H323),0)</f>
        <v>0</v>
      </c>
    </row>
    <row r="324" spans="1:9" s="3" customFormat="1">
      <c r="A324" s="32"/>
      <c r="B324" s="33"/>
      <c r="C324" s="34"/>
      <c r="D324" s="35">
        <v>5</v>
      </c>
      <c r="E324" s="36"/>
      <c r="F324" s="37"/>
      <c r="G324" s="38"/>
      <c r="H324" s="39"/>
      <c r="I324" s="42">
        <f t="shared" si="10"/>
        <v>5</v>
      </c>
    </row>
    <row r="325" spans="1:9" s="3" customFormat="1">
      <c r="A325" s="32"/>
      <c r="B325" s="33"/>
      <c r="C325" s="34"/>
      <c r="D325" s="35"/>
      <c r="E325" s="36"/>
      <c r="F325" s="37"/>
      <c r="G325" s="38"/>
      <c r="H325" s="39"/>
      <c r="I325" s="42">
        <f t="shared" si="10"/>
        <v>0</v>
      </c>
    </row>
    <row r="326" spans="1:9" s="3" customFormat="1">
      <c r="A326" s="32"/>
      <c r="B326" s="33"/>
      <c r="C326" s="34"/>
      <c r="D326" s="35"/>
      <c r="E326" s="36"/>
      <c r="F326" s="37"/>
      <c r="G326" s="38"/>
      <c r="H326" s="39"/>
      <c r="I326" s="42">
        <f t="shared" si="10"/>
        <v>0</v>
      </c>
    </row>
    <row r="327" spans="1:9" s="3" customFormat="1">
      <c r="A327" s="32"/>
      <c r="B327" s="33"/>
      <c r="C327" s="34"/>
      <c r="D327" s="35"/>
      <c r="E327" s="36"/>
      <c r="F327" s="37"/>
      <c r="G327" s="38"/>
      <c r="H327" s="39"/>
      <c r="I327" s="42">
        <f t="shared" si="10"/>
        <v>0</v>
      </c>
    </row>
    <row r="328" spans="1:9" s="3" customFormat="1">
      <c r="A328" s="32"/>
      <c r="B328" s="33"/>
      <c r="C328" s="34"/>
      <c r="D328" s="35"/>
      <c r="E328" s="36"/>
      <c r="F328" s="37"/>
      <c r="G328" s="38"/>
      <c r="H328" s="39"/>
      <c r="I328" s="42">
        <f t="shared" si="10"/>
        <v>0</v>
      </c>
    </row>
    <row r="329" spans="1:9" s="3" customFormat="1">
      <c r="A329" s="14"/>
      <c r="B329" s="15"/>
      <c r="C329" s="16"/>
      <c r="D329" s="17" t="s">
        <v>278</v>
      </c>
      <c r="E329" s="18"/>
      <c r="F329" s="19"/>
      <c r="G329" s="20" t="s">
        <v>78</v>
      </c>
      <c r="H329" s="21" t="s">
        <v>102</v>
      </c>
      <c r="I329" s="22">
        <f>SUBTOTAL(9,I323:I328)</f>
        <v>5</v>
      </c>
    </row>
    <row r="330" spans="1:9" s="3" customFormat="1"/>
    <row r="331" spans="1:9" s="3" customFormat="1"/>
    <row r="332" spans="1:9" s="3" customFormat="1">
      <c r="A332" s="5" t="s">
        <v>143</v>
      </c>
      <c r="B332" s="6" t="s">
        <v>144</v>
      </c>
      <c r="C332" s="7"/>
      <c r="D332" s="8"/>
      <c r="E332" s="9"/>
      <c r="F332" s="10"/>
      <c r="G332" s="11"/>
      <c r="H332" s="12"/>
      <c r="I332" s="13"/>
    </row>
    <row r="333" spans="1:9" s="3" customFormat="1"/>
    <row r="334" spans="1:9" s="3" customFormat="1"/>
    <row r="335" spans="1:9" s="3" customFormat="1">
      <c r="A335" s="5" t="s">
        <v>145</v>
      </c>
      <c r="B335" s="6" t="s">
        <v>146</v>
      </c>
      <c r="C335" s="7"/>
      <c r="D335" s="8"/>
      <c r="E335" s="9"/>
      <c r="F335" s="10"/>
      <c r="G335" s="11"/>
      <c r="H335" s="12"/>
      <c r="I335" s="13"/>
    </row>
    <row r="336" spans="1:9" s="3" customFormat="1"/>
    <row r="337" spans="1:9" s="3" customFormat="1"/>
    <row r="338" spans="1:9" s="3" customFormat="1">
      <c r="A338" s="5" t="s">
        <v>147</v>
      </c>
      <c r="B338" s="6" t="s">
        <v>148</v>
      </c>
      <c r="C338" s="7"/>
      <c r="D338" s="8"/>
      <c r="E338" s="9"/>
      <c r="F338" s="10"/>
      <c r="G338" s="11"/>
      <c r="H338" s="12"/>
      <c r="I338" s="13"/>
    </row>
    <row r="339" spans="1:9" s="3" customFormat="1"/>
    <row r="340" spans="1:9" s="3" customFormat="1"/>
    <row r="341" spans="1:9" s="3" customFormat="1">
      <c r="A341" s="5" t="s">
        <v>149</v>
      </c>
      <c r="B341" s="6" t="s">
        <v>150</v>
      </c>
      <c r="C341" s="7"/>
      <c r="D341" s="8"/>
      <c r="E341" s="9"/>
      <c r="F341" s="10"/>
      <c r="G341" s="11"/>
      <c r="H341" s="12"/>
      <c r="I341" s="13"/>
    </row>
    <row r="342" spans="1:9" s="3" customFormat="1"/>
    <row r="343" spans="1:9" s="3" customFormat="1"/>
    <row r="344" spans="1:9" s="3" customFormat="1">
      <c r="A344" s="5" t="s">
        <v>151</v>
      </c>
      <c r="B344" s="6" t="s">
        <v>152</v>
      </c>
      <c r="C344" s="7"/>
      <c r="D344" s="8"/>
      <c r="E344" s="9"/>
      <c r="F344" s="10"/>
      <c r="G344" s="11"/>
      <c r="H344" s="12"/>
      <c r="I344" s="13"/>
    </row>
    <row r="345" spans="1:9" s="3" customFormat="1">
      <c r="A345" s="23"/>
      <c r="B345" s="24" t="s">
        <v>279</v>
      </c>
      <c r="C345" s="25"/>
      <c r="D345" s="26" t="s">
        <v>282</v>
      </c>
      <c r="E345" s="27"/>
      <c r="F345" s="28"/>
      <c r="G345" s="29" t="s">
        <v>280</v>
      </c>
      <c r="H345" s="30"/>
      <c r="I345" s="31" t="s">
        <v>281</v>
      </c>
    </row>
    <row r="346" spans="1:9" s="3" customFormat="1">
      <c r="A346" s="32"/>
      <c r="B346" s="33"/>
      <c r="C346" s="34"/>
      <c r="D346" s="35">
        <v>3.96</v>
      </c>
      <c r="E346" s="36"/>
      <c r="F346" s="37"/>
      <c r="G346" s="38">
        <v>2</v>
      </c>
      <c r="H346" s="39">
        <v>6</v>
      </c>
      <c r="I346" s="40">
        <f t="shared" ref="I346:I351" si="11">ROUND(PRODUCT(ROUND(PRODUCT(D346,E346,F346),2),G346,H346),2)</f>
        <v>47.52</v>
      </c>
    </row>
    <row r="347" spans="1:9" s="3" customFormat="1">
      <c r="A347" s="32"/>
      <c r="B347" s="33"/>
      <c r="C347" s="34"/>
      <c r="D347" s="35"/>
      <c r="E347" s="36"/>
      <c r="F347" s="37"/>
      <c r="G347" s="38"/>
      <c r="H347" s="39"/>
      <c r="I347" s="40">
        <f t="shared" si="11"/>
        <v>0</v>
      </c>
    </row>
    <row r="348" spans="1:9" s="3" customFormat="1">
      <c r="A348" s="32"/>
      <c r="B348" s="33"/>
      <c r="C348" s="34"/>
      <c r="D348" s="35"/>
      <c r="E348" s="36"/>
      <c r="F348" s="37"/>
      <c r="G348" s="38"/>
      <c r="H348" s="39"/>
      <c r="I348" s="40">
        <f t="shared" si="11"/>
        <v>0</v>
      </c>
    </row>
    <row r="349" spans="1:9" s="3" customFormat="1">
      <c r="A349" s="32"/>
      <c r="B349" s="33"/>
      <c r="C349" s="34"/>
      <c r="D349" s="35"/>
      <c r="E349" s="36"/>
      <c r="F349" s="37"/>
      <c r="G349" s="38"/>
      <c r="H349" s="39"/>
      <c r="I349" s="40">
        <f t="shared" si="11"/>
        <v>0</v>
      </c>
    </row>
    <row r="350" spans="1:9" s="3" customFormat="1">
      <c r="A350" s="32"/>
      <c r="B350" s="33"/>
      <c r="C350" s="34"/>
      <c r="D350" s="35"/>
      <c r="E350" s="36"/>
      <c r="F350" s="37"/>
      <c r="G350" s="38"/>
      <c r="H350" s="39"/>
      <c r="I350" s="40">
        <f t="shared" si="11"/>
        <v>0</v>
      </c>
    </row>
    <row r="351" spans="1:9" s="3" customFormat="1">
      <c r="A351" s="32"/>
      <c r="B351" s="33"/>
      <c r="C351" s="34"/>
      <c r="D351" s="35"/>
      <c r="E351" s="36"/>
      <c r="F351" s="37"/>
      <c r="G351" s="38"/>
      <c r="H351" s="39"/>
      <c r="I351" s="40">
        <f t="shared" si="11"/>
        <v>0</v>
      </c>
    </row>
    <row r="352" spans="1:9" s="3" customFormat="1">
      <c r="A352" s="14"/>
      <c r="B352" s="15"/>
      <c r="C352" s="16"/>
      <c r="D352" s="17" t="s">
        <v>278</v>
      </c>
      <c r="E352" s="18"/>
      <c r="F352" s="19"/>
      <c r="G352" s="20" t="s">
        <v>78</v>
      </c>
      <c r="H352" s="21" t="s">
        <v>140</v>
      </c>
      <c r="I352" s="41">
        <f>SUBTOTAL(9,I346:I351)</f>
        <v>47.52</v>
      </c>
    </row>
    <row r="353" spans="1:9" s="3" customFormat="1"/>
    <row r="354" spans="1:9" s="3" customFormat="1"/>
    <row r="355" spans="1:9" s="3" customFormat="1">
      <c r="A355" s="5" t="s">
        <v>153</v>
      </c>
      <c r="B355" s="6" t="s">
        <v>154</v>
      </c>
      <c r="C355" s="7"/>
      <c r="D355" s="8"/>
      <c r="E355" s="9"/>
      <c r="F355" s="10"/>
      <c r="G355" s="11"/>
      <c r="H355" s="12"/>
      <c r="I355" s="13"/>
    </row>
    <row r="356" spans="1:9" s="3" customFormat="1"/>
    <row r="357" spans="1:9" s="3" customFormat="1"/>
    <row r="358" spans="1:9" s="3" customFormat="1">
      <c r="A358" s="5" t="s">
        <v>155</v>
      </c>
      <c r="B358" s="6" t="s">
        <v>156</v>
      </c>
      <c r="C358" s="7"/>
      <c r="D358" s="8"/>
      <c r="E358" s="9"/>
      <c r="F358" s="10"/>
      <c r="G358" s="11"/>
      <c r="H358" s="12"/>
      <c r="I358" s="13"/>
    </row>
    <row r="359" spans="1:9" s="3" customFormat="1"/>
    <row r="360" spans="1:9" s="3" customFormat="1"/>
    <row r="361" spans="1:9" s="3" customFormat="1">
      <c r="A361" s="5" t="s">
        <v>157</v>
      </c>
      <c r="B361" s="6" t="s">
        <v>158</v>
      </c>
      <c r="C361" s="7"/>
      <c r="D361" s="8"/>
      <c r="E361" s="9"/>
      <c r="F361" s="10"/>
      <c r="G361" s="11"/>
      <c r="H361" s="12"/>
      <c r="I361" s="13"/>
    </row>
    <row r="362" spans="1:9" s="3" customFormat="1"/>
    <row r="363" spans="1:9" s="3" customFormat="1"/>
    <row r="364" spans="1:9" s="3" customFormat="1">
      <c r="A364" s="5" t="s">
        <v>159</v>
      </c>
      <c r="B364" s="6" t="s">
        <v>160</v>
      </c>
      <c r="C364" s="7"/>
      <c r="D364" s="8"/>
      <c r="E364" s="9"/>
      <c r="F364" s="10"/>
      <c r="G364" s="11"/>
      <c r="H364" s="12"/>
      <c r="I364" s="13"/>
    </row>
    <row r="365" spans="1:9" s="3" customFormat="1"/>
    <row r="366" spans="1:9" s="3" customFormat="1"/>
    <row r="367" spans="1:9" s="3" customFormat="1">
      <c r="A367" s="5" t="s">
        <v>161</v>
      </c>
      <c r="B367" s="6" t="s">
        <v>162</v>
      </c>
      <c r="C367" s="7"/>
      <c r="D367" s="8"/>
      <c r="E367" s="9"/>
      <c r="F367" s="10"/>
      <c r="G367" s="11"/>
      <c r="H367" s="12"/>
      <c r="I367" s="13"/>
    </row>
    <row r="368" spans="1:9" s="3" customFormat="1">
      <c r="A368" s="23"/>
      <c r="B368" s="24" t="s">
        <v>279</v>
      </c>
      <c r="C368" s="25"/>
      <c r="D368" s="26" t="s">
        <v>282</v>
      </c>
      <c r="E368" s="27"/>
      <c r="F368" s="28"/>
      <c r="G368" s="29" t="s">
        <v>280</v>
      </c>
      <c r="H368" s="30"/>
      <c r="I368" s="31" t="s">
        <v>281</v>
      </c>
    </row>
    <row r="369" spans="1:9" s="3" customFormat="1">
      <c r="A369" s="32"/>
      <c r="B369" s="33"/>
      <c r="C369" s="34"/>
      <c r="D369" s="35">
        <v>1.6</v>
      </c>
      <c r="E369" s="36"/>
      <c r="F369" s="37"/>
      <c r="G369" s="38">
        <v>6</v>
      </c>
      <c r="H369" s="39"/>
      <c r="I369" s="40">
        <f t="shared" ref="I369:I374" si="12">ROUND(PRODUCT(ROUND(PRODUCT(D369,E369,F369),2),G369,H369),2)</f>
        <v>9.6</v>
      </c>
    </row>
    <row r="370" spans="1:9" s="3" customFormat="1">
      <c r="A370" s="32"/>
      <c r="B370" s="33"/>
      <c r="C370" s="34"/>
      <c r="D370" s="35"/>
      <c r="E370" s="36"/>
      <c r="F370" s="37"/>
      <c r="G370" s="38"/>
      <c r="H370" s="39"/>
      <c r="I370" s="40">
        <f t="shared" si="12"/>
        <v>0</v>
      </c>
    </row>
    <row r="371" spans="1:9" s="3" customFormat="1">
      <c r="A371" s="32"/>
      <c r="B371" s="33"/>
      <c r="C371" s="34"/>
      <c r="D371" s="35"/>
      <c r="E371" s="36"/>
      <c r="F371" s="37"/>
      <c r="G371" s="38"/>
      <c r="H371" s="39"/>
      <c r="I371" s="40">
        <f t="shared" si="12"/>
        <v>0</v>
      </c>
    </row>
    <row r="372" spans="1:9" s="3" customFormat="1">
      <c r="A372" s="32"/>
      <c r="B372" s="33"/>
      <c r="C372" s="34"/>
      <c r="D372" s="35"/>
      <c r="E372" s="36"/>
      <c r="F372" s="37"/>
      <c r="G372" s="38"/>
      <c r="H372" s="39"/>
      <c r="I372" s="40">
        <f t="shared" si="12"/>
        <v>0</v>
      </c>
    </row>
    <row r="373" spans="1:9" s="3" customFormat="1">
      <c r="A373" s="32"/>
      <c r="B373" s="33"/>
      <c r="C373" s="34"/>
      <c r="D373" s="35"/>
      <c r="E373" s="36"/>
      <c r="F373" s="37"/>
      <c r="G373" s="38"/>
      <c r="H373" s="39"/>
      <c r="I373" s="40">
        <f t="shared" si="12"/>
        <v>0</v>
      </c>
    </row>
    <row r="374" spans="1:9" s="3" customFormat="1">
      <c r="A374" s="32"/>
      <c r="B374" s="33"/>
      <c r="C374" s="34"/>
      <c r="D374" s="35"/>
      <c r="E374" s="36"/>
      <c r="F374" s="37"/>
      <c r="G374" s="38"/>
      <c r="H374" s="39"/>
      <c r="I374" s="40">
        <f t="shared" si="12"/>
        <v>0</v>
      </c>
    </row>
    <row r="375" spans="1:9" s="3" customFormat="1">
      <c r="A375" s="14"/>
      <c r="B375" s="15"/>
      <c r="C375" s="16"/>
      <c r="D375" s="17" t="s">
        <v>278</v>
      </c>
      <c r="E375" s="18"/>
      <c r="F375" s="19"/>
      <c r="G375" s="20" t="s">
        <v>78</v>
      </c>
      <c r="H375" s="21" t="s">
        <v>140</v>
      </c>
      <c r="I375" s="41">
        <f>SUBTOTAL(9,I369:I374)</f>
        <v>9.6</v>
      </c>
    </row>
    <row r="376" spans="1:9" s="3" customFormat="1"/>
    <row r="377" spans="1:9" s="3" customFormat="1"/>
    <row r="378" spans="1:9" s="3" customFormat="1">
      <c r="A378" s="5" t="s">
        <v>163</v>
      </c>
      <c r="B378" s="6" t="s">
        <v>164</v>
      </c>
      <c r="C378" s="7"/>
      <c r="D378" s="8"/>
      <c r="E378" s="9"/>
      <c r="F378" s="10"/>
      <c r="G378" s="11"/>
      <c r="H378" s="12"/>
      <c r="I378" s="13"/>
    </row>
    <row r="379" spans="1:9" s="3" customFormat="1"/>
    <row r="380" spans="1:9" s="3" customFormat="1"/>
    <row r="381" spans="1:9" s="3" customFormat="1">
      <c r="A381" s="5" t="s">
        <v>165</v>
      </c>
      <c r="B381" s="6" t="s">
        <v>166</v>
      </c>
      <c r="C381" s="7"/>
      <c r="D381" s="8"/>
      <c r="E381" s="9"/>
      <c r="F381" s="10"/>
      <c r="G381" s="11"/>
      <c r="H381" s="12"/>
      <c r="I381" s="13"/>
    </row>
    <row r="382" spans="1:9" s="3" customFormat="1"/>
    <row r="383" spans="1:9" s="3" customFormat="1"/>
    <row r="384" spans="1:9" s="3" customFormat="1">
      <c r="A384" s="5" t="s">
        <v>167</v>
      </c>
      <c r="B384" s="6" t="s">
        <v>168</v>
      </c>
      <c r="C384" s="7"/>
      <c r="D384" s="8"/>
      <c r="E384" s="9"/>
      <c r="F384" s="10"/>
      <c r="G384" s="11"/>
      <c r="H384" s="12"/>
      <c r="I384" s="13"/>
    </row>
    <row r="385" spans="1:9" s="3" customFormat="1">
      <c r="A385" s="23"/>
      <c r="B385" s="24" t="s">
        <v>279</v>
      </c>
      <c r="C385" s="25"/>
      <c r="D385" s="26" t="s">
        <v>282</v>
      </c>
      <c r="E385" s="27"/>
      <c r="F385" s="28"/>
      <c r="G385" s="29" t="s">
        <v>280</v>
      </c>
      <c r="H385" s="30"/>
      <c r="I385" s="31" t="s">
        <v>281</v>
      </c>
    </row>
    <row r="386" spans="1:9" s="3" customFormat="1">
      <c r="A386" s="32"/>
      <c r="B386" s="33"/>
      <c r="C386" s="34"/>
      <c r="D386" s="35">
        <f>2.51+0.98</f>
        <v>3.4899999999999998</v>
      </c>
      <c r="E386" s="36"/>
      <c r="F386" s="37"/>
      <c r="G386" s="38">
        <v>1</v>
      </c>
      <c r="H386" s="39"/>
      <c r="I386" s="40">
        <f t="shared" ref="I386:I391" si="13">ROUND(PRODUCT(ROUND(PRODUCT(D386,E386,F386),2),G386,H386),2)</f>
        <v>3.49</v>
      </c>
    </row>
    <row r="387" spans="1:9" s="3" customFormat="1">
      <c r="A387" s="32"/>
      <c r="B387" s="33"/>
      <c r="C387" s="34"/>
      <c r="D387" s="35">
        <v>1.75</v>
      </c>
      <c r="E387" s="36"/>
      <c r="F387" s="37"/>
      <c r="G387" s="38">
        <v>6</v>
      </c>
      <c r="H387" s="39"/>
      <c r="I387" s="40">
        <f t="shared" si="13"/>
        <v>10.5</v>
      </c>
    </row>
    <row r="388" spans="1:9" s="3" customFormat="1">
      <c r="A388" s="32"/>
      <c r="B388" s="33"/>
      <c r="C388" s="34"/>
      <c r="D388" s="35"/>
      <c r="E388" s="36"/>
      <c r="F388" s="37"/>
      <c r="G388" s="38"/>
      <c r="H388" s="39"/>
      <c r="I388" s="40">
        <f t="shared" si="13"/>
        <v>0</v>
      </c>
    </row>
    <row r="389" spans="1:9" s="3" customFormat="1">
      <c r="A389" s="32"/>
      <c r="B389" s="33"/>
      <c r="C389" s="34"/>
      <c r="D389" s="35"/>
      <c r="E389" s="36"/>
      <c r="F389" s="37"/>
      <c r="G389" s="38"/>
      <c r="H389" s="39"/>
      <c r="I389" s="40">
        <f t="shared" si="13"/>
        <v>0</v>
      </c>
    </row>
    <row r="390" spans="1:9" s="3" customFormat="1">
      <c r="A390" s="32"/>
      <c r="B390" s="33"/>
      <c r="C390" s="34"/>
      <c r="D390" s="35"/>
      <c r="E390" s="36"/>
      <c r="F390" s="37"/>
      <c r="G390" s="38"/>
      <c r="H390" s="39"/>
      <c r="I390" s="40">
        <f t="shared" si="13"/>
        <v>0</v>
      </c>
    </row>
    <row r="391" spans="1:9" s="3" customFormat="1">
      <c r="A391" s="32"/>
      <c r="B391" s="33"/>
      <c r="C391" s="34"/>
      <c r="D391" s="35"/>
      <c r="E391" s="36"/>
      <c r="F391" s="37"/>
      <c r="G391" s="38"/>
      <c r="H391" s="39"/>
      <c r="I391" s="40">
        <f t="shared" si="13"/>
        <v>0</v>
      </c>
    </row>
    <row r="392" spans="1:9" s="3" customFormat="1">
      <c r="A392" s="14"/>
      <c r="B392" s="15"/>
      <c r="C392" s="16"/>
      <c r="D392" s="17" t="s">
        <v>278</v>
      </c>
      <c r="E392" s="18"/>
      <c r="F392" s="19"/>
      <c r="G392" s="20" t="s">
        <v>78</v>
      </c>
      <c r="H392" s="21" t="s">
        <v>140</v>
      </c>
      <c r="I392" s="41">
        <f>SUBTOTAL(9,I386:I391)</f>
        <v>13.99</v>
      </c>
    </row>
    <row r="393" spans="1:9" s="3" customFormat="1"/>
    <row r="394" spans="1:9" s="3" customFormat="1"/>
    <row r="395" spans="1:9" s="3" customFormat="1">
      <c r="A395" s="5" t="s">
        <v>169</v>
      </c>
      <c r="B395" s="6" t="s">
        <v>170</v>
      </c>
      <c r="C395" s="7"/>
      <c r="D395" s="8"/>
      <c r="E395" s="9"/>
      <c r="F395" s="10"/>
      <c r="G395" s="11"/>
      <c r="H395" s="12"/>
      <c r="I395" s="13"/>
    </row>
    <row r="396" spans="1:9" s="3" customFormat="1"/>
    <row r="397" spans="1:9" s="3" customFormat="1"/>
    <row r="398" spans="1:9" s="3" customFormat="1">
      <c r="A398" s="5" t="s">
        <v>171</v>
      </c>
      <c r="B398" s="6" t="s">
        <v>172</v>
      </c>
      <c r="C398" s="7"/>
      <c r="D398" s="8"/>
      <c r="E398" s="9"/>
      <c r="F398" s="10"/>
      <c r="G398" s="11"/>
      <c r="H398" s="12"/>
      <c r="I398" s="13"/>
    </row>
    <row r="399" spans="1:9" s="3" customFormat="1">
      <c r="A399" s="23"/>
      <c r="B399" s="24" t="s">
        <v>279</v>
      </c>
      <c r="C399" s="25"/>
      <c r="D399" s="26" t="s">
        <v>284</v>
      </c>
      <c r="E399" s="27"/>
      <c r="F399" s="28"/>
      <c r="G399" s="29" t="s">
        <v>280</v>
      </c>
      <c r="H399" s="30"/>
      <c r="I399" s="31" t="s">
        <v>281</v>
      </c>
    </row>
    <row r="400" spans="1:9" s="3" customFormat="1">
      <c r="A400" s="32"/>
      <c r="B400" s="33"/>
      <c r="C400" s="34"/>
      <c r="D400" s="35">
        <v>1</v>
      </c>
      <c r="E400" s="36"/>
      <c r="F400" s="37"/>
      <c r="G400" s="38"/>
      <c r="H400" s="39"/>
      <c r="I400" s="42">
        <f t="shared" ref="I400:I405" si="14">ROUND(PRODUCT(ROUND(PRODUCT(D400,E400,F400),0),G400,H400),0)</f>
        <v>1</v>
      </c>
    </row>
    <row r="401" spans="1:9" s="3" customFormat="1">
      <c r="A401" s="32"/>
      <c r="B401" s="33"/>
      <c r="C401" s="34"/>
      <c r="D401" s="35"/>
      <c r="E401" s="36"/>
      <c r="F401" s="37"/>
      <c r="G401" s="38"/>
      <c r="H401" s="39"/>
      <c r="I401" s="42">
        <f t="shared" si="14"/>
        <v>0</v>
      </c>
    </row>
    <row r="402" spans="1:9" s="3" customFormat="1">
      <c r="A402" s="32"/>
      <c r="B402" s="33"/>
      <c r="C402" s="34"/>
      <c r="D402" s="35"/>
      <c r="E402" s="36"/>
      <c r="F402" s="37"/>
      <c r="G402" s="38"/>
      <c r="H402" s="39"/>
      <c r="I402" s="42">
        <f t="shared" si="14"/>
        <v>0</v>
      </c>
    </row>
    <row r="403" spans="1:9" s="3" customFormat="1">
      <c r="A403" s="32"/>
      <c r="B403" s="33"/>
      <c r="C403" s="34"/>
      <c r="D403" s="35"/>
      <c r="E403" s="36"/>
      <c r="F403" s="37"/>
      <c r="G403" s="38"/>
      <c r="H403" s="39"/>
      <c r="I403" s="42">
        <f t="shared" si="14"/>
        <v>0</v>
      </c>
    </row>
    <row r="404" spans="1:9" s="3" customFormat="1">
      <c r="A404" s="32"/>
      <c r="B404" s="33"/>
      <c r="C404" s="34"/>
      <c r="D404" s="35"/>
      <c r="E404" s="36"/>
      <c r="F404" s="37"/>
      <c r="G404" s="38"/>
      <c r="H404" s="39"/>
      <c r="I404" s="42">
        <f t="shared" si="14"/>
        <v>0</v>
      </c>
    </row>
    <row r="405" spans="1:9" s="3" customFormat="1">
      <c r="A405" s="32"/>
      <c r="B405" s="33"/>
      <c r="C405" s="34"/>
      <c r="D405" s="35"/>
      <c r="E405" s="36"/>
      <c r="F405" s="37"/>
      <c r="G405" s="38"/>
      <c r="H405" s="39"/>
      <c r="I405" s="42">
        <f t="shared" si="14"/>
        <v>0</v>
      </c>
    </row>
    <row r="406" spans="1:9" s="3" customFormat="1">
      <c r="A406" s="14"/>
      <c r="B406" s="15"/>
      <c r="C406" s="16"/>
      <c r="D406" s="17" t="s">
        <v>278</v>
      </c>
      <c r="E406" s="18"/>
      <c r="F406" s="19"/>
      <c r="G406" s="20" t="s">
        <v>78</v>
      </c>
      <c r="H406" s="21" t="s">
        <v>102</v>
      </c>
      <c r="I406" s="22">
        <f>SUBTOTAL(9,I400:I405)</f>
        <v>1</v>
      </c>
    </row>
    <row r="407" spans="1:9" s="3" customFormat="1"/>
    <row r="408" spans="1:9" s="3" customFormat="1"/>
    <row r="409" spans="1:9" s="3" customFormat="1">
      <c r="A409" s="5" t="s">
        <v>173</v>
      </c>
      <c r="B409" s="6" t="s">
        <v>174</v>
      </c>
      <c r="C409" s="7"/>
      <c r="D409" s="8"/>
      <c r="E409" s="9"/>
      <c r="F409" s="10"/>
      <c r="G409" s="11"/>
      <c r="H409" s="12"/>
      <c r="I409" s="13"/>
    </row>
    <row r="410" spans="1:9" s="3" customFormat="1"/>
    <row r="411" spans="1:9" s="3" customFormat="1"/>
    <row r="412" spans="1:9" s="3" customFormat="1">
      <c r="A412" s="5" t="s">
        <v>175</v>
      </c>
      <c r="B412" s="6" t="s">
        <v>176</v>
      </c>
      <c r="C412" s="7"/>
      <c r="D412" s="8"/>
      <c r="E412" s="9"/>
      <c r="F412" s="10"/>
      <c r="G412" s="11"/>
      <c r="H412" s="12"/>
      <c r="I412" s="13"/>
    </row>
    <row r="413" spans="1:9" s="3" customFormat="1">
      <c r="A413" s="23"/>
      <c r="B413" s="24" t="s">
        <v>279</v>
      </c>
      <c r="C413" s="25"/>
      <c r="D413" s="26" t="s">
        <v>284</v>
      </c>
      <c r="E413" s="27"/>
      <c r="F413" s="28"/>
      <c r="G413" s="29" t="s">
        <v>280</v>
      </c>
      <c r="H413" s="30"/>
      <c r="I413" s="31" t="s">
        <v>281</v>
      </c>
    </row>
    <row r="414" spans="1:9" s="3" customFormat="1">
      <c r="A414" s="32"/>
      <c r="B414" s="33" t="s">
        <v>297</v>
      </c>
      <c r="C414" s="34"/>
      <c r="D414" s="35">
        <v>13</v>
      </c>
      <c r="E414" s="36"/>
      <c r="F414" s="37"/>
      <c r="G414" s="38"/>
      <c r="H414" s="39"/>
      <c r="I414" s="42">
        <f t="shared" ref="I414:I419" si="15">ROUND(PRODUCT(ROUND(PRODUCT(D414,E414,F414),0),G414,H414),0)</f>
        <v>13</v>
      </c>
    </row>
    <row r="415" spans="1:9" s="3" customFormat="1">
      <c r="A415" s="32"/>
      <c r="B415" s="33" t="s">
        <v>293</v>
      </c>
      <c r="C415" s="34"/>
      <c r="D415" s="35">
        <v>6</v>
      </c>
      <c r="E415" s="36"/>
      <c r="F415" s="37"/>
      <c r="G415" s="38"/>
      <c r="H415" s="39"/>
      <c r="I415" s="42">
        <f t="shared" si="15"/>
        <v>6</v>
      </c>
    </row>
    <row r="416" spans="1:9" s="3" customFormat="1">
      <c r="A416" s="32"/>
      <c r="B416" s="33"/>
      <c r="C416" s="34"/>
      <c r="D416" s="35"/>
      <c r="E416" s="36"/>
      <c r="F416" s="37"/>
      <c r="G416" s="38"/>
      <c r="H416" s="39"/>
      <c r="I416" s="42">
        <f t="shared" si="15"/>
        <v>0</v>
      </c>
    </row>
    <row r="417" spans="1:9" s="3" customFormat="1">
      <c r="A417" s="32"/>
      <c r="B417" s="33"/>
      <c r="C417" s="34"/>
      <c r="D417" s="35"/>
      <c r="E417" s="36"/>
      <c r="F417" s="37"/>
      <c r="G417" s="38"/>
      <c r="H417" s="39"/>
      <c r="I417" s="42">
        <f t="shared" si="15"/>
        <v>0</v>
      </c>
    </row>
    <row r="418" spans="1:9" s="3" customFormat="1">
      <c r="A418" s="32"/>
      <c r="B418" s="33"/>
      <c r="C418" s="34"/>
      <c r="D418" s="35"/>
      <c r="E418" s="36"/>
      <c r="F418" s="37"/>
      <c r="G418" s="38"/>
      <c r="H418" s="39"/>
      <c r="I418" s="42">
        <f t="shared" si="15"/>
        <v>0</v>
      </c>
    </row>
    <row r="419" spans="1:9" s="3" customFormat="1">
      <c r="A419" s="32"/>
      <c r="B419" s="33"/>
      <c r="C419" s="34"/>
      <c r="D419" s="35"/>
      <c r="E419" s="36"/>
      <c r="F419" s="37"/>
      <c r="G419" s="38"/>
      <c r="H419" s="39"/>
      <c r="I419" s="42">
        <f t="shared" si="15"/>
        <v>0</v>
      </c>
    </row>
    <row r="420" spans="1:9" s="3" customFormat="1">
      <c r="A420" s="14"/>
      <c r="B420" s="15"/>
      <c r="C420" s="16"/>
      <c r="D420" s="17" t="s">
        <v>278</v>
      </c>
      <c r="E420" s="18"/>
      <c r="F420" s="19"/>
      <c r="G420" s="20" t="s">
        <v>78</v>
      </c>
      <c r="H420" s="21" t="s">
        <v>102</v>
      </c>
      <c r="I420" s="22">
        <f>SUBTOTAL(9,I414:I419)</f>
        <v>19</v>
      </c>
    </row>
    <row r="421" spans="1:9" s="3" customFormat="1"/>
    <row r="422" spans="1:9" s="3" customFormat="1"/>
    <row r="423" spans="1:9" s="3" customFormat="1">
      <c r="A423" s="5" t="s">
        <v>177</v>
      </c>
      <c r="B423" s="6" t="s">
        <v>178</v>
      </c>
      <c r="C423" s="7"/>
      <c r="D423" s="8"/>
      <c r="E423" s="9"/>
      <c r="F423" s="10"/>
      <c r="G423" s="11"/>
      <c r="H423" s="12"/>
      <c r="I423" s="13"/>
    </row>
    <row r="424" spans="1:9" s="3" customFormat="1"/>
    <row r="425" spans="1:9" s="3" customFormat="1"/>
    <row r="426" spans="1:9" s="3" customFormat="1">
      <c r="A426" s="5" t="s">
        <v>179</v>
      </c>
      <c r="B426" s="6" t="s">
        <v>180</v>
      </c>
      <c r="C426" s="7"/>
      <c r="D426" s="8"/>
      <c r="E426" s="9"/>
      <c r="F426" s="10"/>
      <c r="G426" s="11"/>
      <c r="H426" s="12"/>
      <c r="I426" s="13"/>
    </row>
    <row r="427" spans="1:9" s="3" customFormat="1"/>
    <row r="428" spans="1:9" s="3" customFormat="1"/>
    <row r="429" spans="1:9" s="3" customFormat="1">
      <c r="A429" s="5" t="s">
        <v>181</v>
      </c>
      <c r="B429" s="6" t="s">
        <v>182</v>
      </c>
      <c r="C429" s="7"/>
      <c r="D429" s="8"/>
      <c r="E429" s="9"/>
      <c r="F429" s="10"/>
      <c r="G429" s="11"/>
      <c r="H429" s="12"/>
      <c r="I429" s="13"/>
    </row>
    <row r="430" spans="1:9" s="3" customFormat="1"/>
    <row r="431" spans="1:9" s="3" customFormat="1"/>
    <row r="432" spans="1:9" s="3" customFormat="1">
      <c r="A432" s="5" t="s">
        <v>183</v>
      </c>
      <c r="B432" s="6" t="s">
        <v>184</v>
      </c>
      <c r="C432" s="7"/>
      <c r="D432" s="8"/>
      <c r="E432" s="9"/>
      <c r="F432" s="10"/>
      <c r="G432" s="11"/>
      <c r="H432" s="12"/>
      <c r="I432" s="13"/>
    </row>
    <row r="433" spans="1:9" s="3" customFormat="1">
      <c r="A433" s="14"/>
      <c r="B433" s="15"/>
      <c r="C433" s="16"/>
      <c r="D433" s="17" t="s">
        <v>278</v>
      </c>
      <c r="E433" s="18"/>
      <c r="F433" s="19"/>
      <c r="G433" s="20" t="s">
        <v>18</v>
      </c>
      <c r="H433" s="21"/>
      <c r="I433" s="22"/>
    </row>
    <row r="434" spans="1:9" s="3" customFormat="1"/>
    <row r="435" spans="1:9" s="3" customFormat="1"/>
    <row r="436" spans="1:9" s="3" customFormat="1">
      <c r="A436" s="5" t="s">
        <v>185</v>
      </c>
      <c r="B436" s="6" t="s">
        <v>186</v>
      </c>
      <c r="C436" s="7"/>
      <c r="D436" s="8"/>
      <c r="E436" s="9"/>
      <c r="F436" s="10"/>
      <c r="G436" s="11"/>
      <c r="H436" s="12"/>
      <c r="I436" s="13"/>
    </row>
    <row r="437" spans="1:9" s="3" customFormat="1"/>
    <row r="438" spans="1:9" s="3" customFormat="1"/>
    <row r="439" spans="1:9" s="3" customFormat="1">
      <c r="A439" s="5" t="s">
        <v>187</v>
      </c>
      <c r="B439" s="6" t="s">
        <v>188</v>
      </c>
      <c r="C439" s="7"/>
      <c r="D439" s="8"/>
      <c r="E439" s="9"/>
      <c r="F439" s="10"/>
      <c r="G439" s="11"/>
      <c r="H439" s="12"/>
      <c r="I439" s="13"/>
    </row>
    <row r="440" spans="1:9" s="3" customFormat="1">
      <c r="A440" s="23"/>
      <c r="B440" s="24" t="s">
        <v>279</v>
      </c>
      <c r="C440" s="25"/>
      <c r="D440" s="26" t="s">
        <v>282</v>
      </c>
      <c r="E440" s="27" t="s">
        <v>283</v>
      </c>
      <c r="F440" s="28"/>
      <c r="G440" s="29" t="s">
        <v>280</v>
      </c>
      <c r="H440" s="30"/>
      <c r="I440" s="31" t="s">
        <v>281</v>
      </c>
    </row>
    <row r="441" spans="1:9" s="3" customFormat="1">
      <c r="A441" s="32"/>
      <c r="B441" s="33" t="s">
        <v>106</v>
      </c>
      <c r="C441" s="34"/>
      <c r="D441" s="35">
        <f>I215</f>
        <v>39.6</v>
      </c>
      <c r="E441" s="36"/>
      <c r="F441" s="37"/>
      <c r="G441" s="38"/>
      <c r="H441" s="39"/>
      <c r="I441" s="40">
        <f t="shared" ref="I441:I446" si="16">ROUND(PRODUCT(ROUND(PRODUCT(D441,E441,F441),2),G441,H441),2)</f>
        <v>39.6</v>
      </c>
    </row>
    <row r="442" spans="1:9" s="3" customFormat="1">
      <c r="A442" s="32"/>
      <c r="B442" s="33"/>
      <c r="C442" s="34"/>
      <c r="D442" s="35"/>
      <c r="E442" s="36"/>
      <c r="F442" s="37"/>
      <c r="G442" s="38"/>
      <c r="H442" s="39"/>
      <c r="I442" s="40">
        <f t="shared" si="16"/>
        <v>0</v>
      </c>
    </row>
    <row r="443" spans="1:9" s="3" customFormat="1">
      <c r="A443" s="32"/>
      <c r="B443" s="33"/>
      <c r="C443" s="34"/>
      <c r="D443" s="35"/>
      <c r="E443" s="36"/>
      <c r="F443" s="37"/>
      <c r="G443" s="38"/>
      <c r="H443" s="39"/>
      <c r="I443" s="40">
        <f t="shared" si="16"/>
        <v>0</v>
      </c>
    </row>
    <row r="444" spans="1:9" s="3" customFormat="1">
      <c r="A444" s="32"/>
      <c r="B444" s="33"/>
      <c r="C444" s="34"/>
      <c r="D444" s="35"/>
      <c r="E444" s="36"/>
      <c r="F444" s="37"/>
      <c r="G444" s="38"/>
      <c r="H444" s="39"/>
      <c r="I444" s="40">
        <f t="shared" si="16"/>
        <v>0</v>
      </c>
    </row>
    <row r="445" spans="1:9" s="3" customFormat="1">
      <c r="A445" s="32"/>
      <c r="B445" s="33"/>
      <c r="C445" s="34"/>
      <c r="D445" s="35"/>
      <c r="E445" s="36"/>
      <c r="F445" s="37"/>
      <c r="G445" s="38"/>
      <c r="H445" s="39"/>
      <c r="I445" s="40">
        <f t="shared" si="16"/>
        <v>0</v>
      </c>
    </row>
    <row r="446" spans="1:9" s="3" customFormat="1">
      <c r="A446" s="32"/>
      <c r="B446" s="33"/>
      <c r="C446" s="34"/>
      <c r="D446" s="35"/>
      <c r="E446" s="36"/>
      <c r="F446" s="37"/>
      <c r="G446" s="38"/>
      <c r="H446" s="39"/>
      <c r="I446" s="40">
        <f t="shared" si="16"/>
        <v>0</v>
      </c>
    </row>
    <row r="447" spans="1:9" s="3" customFormat="1">
      <c r="A447" s="14"/>
      <c r="B447" s="15"/>
      <c r="C447" s="16"/>
      <c r="D447" s="17" t="s">
        <v>278</v>
      </c>
      <c r="E447" s="18"/>
      <c r="F447" s="19"/>
      <c r="G447" s="20" t="s">
        <v>78</v>
      </c>
      <c r="H447" s="21" t="s">
        <v>105</v>
      </c>
      <c r="I447" s="41">
        <f>SUBTOTAL(9,I441:I446)</f>
        <v>39.6</v>
      </c>
    </row>
    <row r="448" spans="1:9" s="3" customFormat="1"/>
    <row r="449" spans="1:9" s="3" customFormat="1"/>
    <row r="450" spans="1:9" s="3" customFormat="1">
      <c r="A450" s="5" t="s">
        <v>189</v>
      </c>
      <c r="B450" s="6" t="s">
        <v>190</v>
      </c>
      <c r="C450" s="7"/>
      <c r="D450" s="8"/>
      <c r="E450" s="9"/>
      <c r="F450" s="10"/>
      <c r="G450" s="11"/>
      <c r="H450" s="12"/>
      <c r="I450" s="13"/>
    </row>
    <row r="451" spans="1:9" s="3" customFormat="1"/>
    <row r="452" spans="1:9" s="3" customFormat="1"/>
    <row r="453" spans="1:9" s="3" customFormat="1">
      <c r="A453" s="5" t="s">
        <v>191</v>
      </c>
      <c r="B453" s="6" t="s">
        <v>192</v>
      </c>
      <c r="C453" s="7"/>
      <c r="D453" s="8"/>
      <c r="E453" s="9"/>
      <c r="F453" s="10"/>
      <c r="G453" s="11"/>
      <c r="H453" s="12"/>
      <c r="I453" s="13"/>
    </row>
    <row r="454" spans="1:9" s="3" customFormat="1">
      <c r="A454" s="23"/>
      <c r="B454" s="24" t="s">
        <v>279</v>
      </c>
      <c r="C454" s="25"/>
      <c r="D454" s="26" t="s">
        <v>282</v>
      </c>
      <c r="E454" s="27" t="s">
        <v>283</v>
      </c>
      <c r="F454" s="28"/>
      <c r="G454" s="29" t="s">
        <v>280</v>
      </c>
      <c r="H454" s="30"/>
      <c r="I454" s="31" t="s">
        <v>281</v>
      </c>
    </row>
    <row r="455" spans="1:9" s="3" customFormat="1">
      <c r="A455" s="32"/>
      <c r="B455" s="33" t="s">
        <v>106</v>
      </c>
      <c r="C455" s="34"/>
      <c r="D455" s="35">
        <f>I215</f>
        <v>39.6</v>
      </c>
      <c r="E455" s="36"/>
      <c r="F455" s="37"/>
      <c r="G455" s="38"/>
      <c r="H455" s="39"/>
      <c r="I455" s="40">
        <f t="shared" ref="I455:I460" si="17">ROUND(PRODUCT(ROUND(PRODUCT(D455,E455,F455),2),G455,H455),2)</f>
        <v>39.6</v>
      </c>
    </row>
    <row r="456" spans="1:9" s="3" customFormat="1">
      <c r="A456" s="32"/>
      <c r="B456" s="33"/>
      <c r="C456" s="34"/>
      <c r="D456" s="35"/>
      <c r="E456" s="36"/>
      <c r="F456" s="37"/>
      <c r="G456" s="38"/>
      <c r="H456" s="39"/>
      <c r="I456" s="40">
        <f t="shared" si="17"/>
        <v>0</v>
      </c>
    </row>
    <row r="457" spans="1:9" s="3" customFormat="1">
      <c r="A457" s="32"/>
      <c r="B457" s="33"/>
      <c r="C457" s="34"/>
      <c r="D457" s="35"/>
      <c r="E457" s="36"/>
      <c r="F457" s="37"/>
      <c r="G457" s="38"/>
      <c r="H457" s="39"/>
      <c r="I457" s="40">
        <f t="shared" si="17"/>
        <v>0</v>
      </c>
    </row>
    <row r="458" spans="1:9" s="3" customFormat="1">
      <c r="A458" s="32"/>
      <c r="B458" s="33"/>
      <c r="C458" s="34"/>
      <c r="D458" s="35"/>
      <c r="E458" s="36"/>
      <c r="F458" s="37"/>
      <c r="G458" s="38"/>
      <c r="H458" s="39"/>
      <c r="I458" s="40">
        <f t="shared" si="17"/>
        <v>0</v>
      </c>
    </row>
    <row r="459" spans="1:9" s="3" customFormat="1">
      <c r="A459" s="32"/>
      <c r="B459" s="33"/>
      <c r="C459" s="34"/>
      <c r="D459" s="35"/>
      <c r="E459" s="36"/>
      <c r="F459" s="37"/>
      <c r="G459" s="38"/>
      <c r="H459" s="39"/>
      <c r="I459" s="40">
        <f t="shared" si="17"/>
        <v>0</v>
      </c>
    </row>
    <row r="460" spans="1:9" s="3" customFormat="1">
      <c r="A460" s="32"/>
      <c r="B460" s="33"/>
      <c r="C460" s="34"/>
      <c r="D460" s="35"/>
      <c r="E460" s="36"/>
      <c r="F460" s="37"/>
      <c r="G460" s="38"/>
      <c r="H460" s="39"/>
      <c r="I460" s="40">
        <f t="shared" si="17"/>
        <v>0</v>
      </c>
    </row>
    <row r="461" spans="1:9" s="3" customFormat="1">
      <c r="A461" s="14"/>
      <c r="B461" s="15"/>
      <c r="C461" s="16"/>
      <c r="D461" s="17" t="s">
        <v>278</v>
      </c>
      <c r="E461" s="18"/>
      <c r="F461" s="19"/>
      <c r="G461" s="20" t="s">
        <v>78</v>
      </c>
      <c r="H461" s="21" t="s">
        <v>105</v>
      </c>
      <c r="I461" s="41">
        <f>SUBTOTAL(9,I455:I460)</f>
        <v>39.6</v>
      </c>
    </row>
    <row r="462" spans="1:9" s="3" customFormat="1"/>
    <row r="463" spans="1:9" s="3" customFormat="1"/>
    <row r="464" spans="1:9" s="3" customFormat="1">
      <c r="A464" s="5" t="s">
        <v>193</v>
      </c>
      <c r="B464" s="6" t="s">
        <v>194</v>
      </c>
      <c r="C464" s="7"/>
      <c r="D464" s="8"/>
      <c r="E464" s="9"/>
      <c r="F464" s="10"/>
      <c r="G464" s="11"/>
      <c r="H464" s="12"/>
      <c r="I464" s="13"/>
    </row>
    <row r="465" spans="1:9" s="3" customFormat="1"/>
    <row r="466" spans="1:9" s="3" customFormat="1"/>
    <row r="467" spans="1:9" s="3" customFormat="1">
      <c r="A467" s="5" t="s">
        <v>195</v>
      </c>
      <c r="B467" s="6" t="s">
        <v>196</v>
      </c>
      <c r="C467" s="7"/>
      <c r="D467" s="8"/>
      <c r="E467" s="9"/>
      <c r="F467" s="10"/>
      <c r="G467" s="11"/>
      <c r="H467" s="12"/>
      <c r="I467" s="13"/>
    </row>
    <row r="468" spans="1:9" s="3" customFormat="1"/>
    <row r="469" spans="1:9" s="3" customFormat="1"/>
    <row r="470" spans="1:9" s="3" customFormat="1">
      <c r="A470" s="5" t="s">
        <v>197</v>
      </c>
      <c r="B470" s="6" t="s">
        <v>198</v>
      </c>
      <c r="C470" s="7"/>
      <c r="D470" s="8"/>
      <c r="E470" s="9"/>
      <c r="F470" s="10"/>
      <c r="G470" s="11"/>
      <c r="H470" s="12"/>
      <c r="I470" s="13"/>
    </row>
    <row r="471" spans="1:9" s="3" customFormat="1"/>
    <row r="472" spans="1:9" s="3" customFormat="1"/>
    <row r="473" spans="1:9" s="3" customFormat="1">
      <c r="A473" s="5" t="s">
        <v>199</v>
      </c>
      <c r="B473" s="6" t="s">
        <v>200</v>
      </c>
      <c r="C473" s="7"/>
      <c r="D473" s="8"/>
      <c r="E473" s="9"/>
      <c r="F473" s="10"/>
      <c r="G473" s="11"/>
      <c r="H473" s="12"/>
      <c r="I473" s="13"/>
    </row>
    <row r="474" spans="1:9" s="3" customFormat="1"/>
    <row r="475" spans="1:9" s="3" customFormat="1"/>
    <row r="476" spans="1:9" s="3" customFormat="1">
      <c r="A476" s="5" t="s">
        <v>201</v>
      </c>
      <c r="B476" s="6" t="s">
        <v>202</v>
      </c>
      <c r="C476" s="7"/>
      <c r="D476" s="8"/>
      <c r="E476" s="9"/>
      <c r="F476" s="10"/>
      <c r="G476" s="11"/>
      <c r="H476" s="12"/>
      <c r="I476" s="13"/>
    </row>
    <row r="477" spans="1:9" s="3" customFormat="1">
      <c r="A477" s="23"/>
      <c r="B477" s="24" t="s">
        <v>279</v>
      </c>
      <c r="C477" s="25"/>
      <c r="D477" s="26" t="s">
        <v>282</v>
      </c>
      <c r="E477" s="27" t="s">
        <v>283</v>
      </c>
      <c r="F477" s="28"/>
      <c r="G477" s="29" t="s">
        <v>280</v>
      </c>
      <c r="H477" s="30"/>
      <c r="I477" s="31" t="s">
        <v>281</v>
      </c>
    </row>
    <row r="478" spans="1:9" s="3" customFormat="1">
      <c r="A478" s="32"/>
      <c r="B478" s="33"/>
      <c r="C478" s="34"/>
      <c r="D478" s="35">
        <v>6.13</v>
      </c>
      <c r="E478" s="36">
        <f>3.17*0.5</f>
        <v>1.585</v>
      </c>
      <c r="F478" s="37"/>
      <c r="G478" s="38"/>
      <c r="H478" s="47"/>
      <c r="I478" s="40">
        <f t="shared" ref="I478:I483" si="18">ROUND(PRODUCT(ROUND(PRODUCT(D478,E478,F478),2),G478,H478),2)</f>
        <v>9.7200000000000006</v>
      </c>
    </row>
    <row r="479" spans="1:9" s="3" customFormat="1">
      <c r="A479" s="32"/>
      <c r="B479" s="33"/>
      <c r="C479" s="34" t="s">
        <v>298</v>
      </c>
      <c r="D479" s="35">
        <v>1.92</v>
      </c>
      <c r="E479" s="36">
        <v>2.15</v>
      </c>
      <c r="F479" s="37"/>
      <c r="G479" s="38"/>
      <c r="H479" s="39">
        <v>-1</v>
      </c>
      <c r="I479" s="40">
        <f t="shared" si="18"/>
        <v>-4.13</v>
      </c>
    </row>
    <row r="480" spans="1:9" s="3" customFormat="1">
      <c r="A480" s="32"/>
      <c r="B480" s="33"/>
      <c r="C480" s="34"/>
      <c r="D480" s="35"/>
      <c r="E480" s="36"/>
      <c r="F480" s="37"/>
      <c r="G480" s="38"/>
      <c r="H480" s="39"/>
      <c r="I480" s="40">
        <f t="shared" si="18"/>
        <v>0</v>
      </c>
    </row>
    <row r="481" spans="1:9" s="3" customFormat="1">
      <c r="A481" s="32"/>
      <c r="B481" s="33"/>
      <c r="C481" s="34"/>
      <c r="D481" s="35"/>
      <c r="E481" s="36"/>
      <c r="F481" s="37"/>
      <c r="G481" s="38"/>
      <c r="H481" s="39"/>
      <c r="I481" s="40">
        <f t="shared" si="18"/>
        <v>0</v>
      </c>
    </row>
    <row r="482" spans="1:9" s="3" customFormat="1">
      <c r="A482" s="32"/>
      <c r="B482" s="33"/>
      <c r="C482" s="34"/>
      <c r="D482" s="35"/>
      <c r="E482" s="36"/>
      <c r="F482" s="37"/>
      <c r="G482" s="38"/>
      <c r="H482" s="39"/>
      <c r="I482" s="40">
        <f t="shared" si="18"/>
        <v>0</v>
      </c>
    </row>
    <row r="483" spans="1:9" s="3" customFormat="1">
      <c r="A483" s="32"/>
      <c r="B483" s="33"/>
      <c r="C483" s="34"/>
      <c r="D483" s="35"/>
      <c r="E483" s="36"/>
      <c r="F483" s="37"/>
      <c r="G483" s="38"/>
      <c r="H483" s="39"/>
      <c r="I483" s="40">
        <f t="shared" si="18"/>
        <v>0</v>
      </c>
    </row>
    <row r="484" spans="1:9" s="3" customFormat="1">
      <c r="A484" s="14"/>
      <c r="B484" s="15"/>
      <c r="C484" s="16"/>
      <c r="D484" s="17" t="s">
        <v>278</v>
      </c>
      <c r="E484" s="18"/>
      <c r="F484" s="19"/>
      <c r="G484" s="20" t="s">
        <v>78</v>
      </c>
      <c r="H484" s="21" t="s">
        <v>105</v>
      </c>
      <c r="I484" s="41">
        <f>SUBTOTAL(9,I478:I483)</f>
        <v>5.5900000000000007</v>
      </c>
    </row>
    <row r="485" spans="1:9" s="3" customFormat="1"/>
    <row r="486" spans="1:9" s="3" customFormat="1"/>
    <row r="487" spans="1:9" s="3" customFormat="1">
      <c r="A487" s="5" t="s">
        <v>203</v>
      </c>
      <c r="B487" s="6" t="s">
        <v>204</v>
      </c>
      <c r="C487" s="7"/>
      <c r="D487" s="8"/>
      <c r="E487" s="9"/>
      <c r="F487" s="10"/>
      <c r="G487" s="11"/>
      <c r="H487" s="12"/>
      <c r="I487" s="13"/>
    </row>
    <row r="488" spans="1:9" s="3" customFormat="1">
      <c r="A488" s="23"/>
      <c r="B488" s="24" t="s">
        <v>279</v>
      </c>
      <c r="C488" s="25"/>
      <c r="D488" s="26" t="s">
        <v>282</v>
      </c>
      <c r="E488" s="27" t="s">
        <v>283</v>
      </c>
      <c r="F488" s="28"/>
      <c r="G488" s="29" t="s">
        <v>280</v>
      </c>
      <c r="H488" s="30"/>
      <c r="I488" s="31" t="s">
        <v>281</v>
      </c>
    </row>
    <row r="489" spans="1:9" s="3" customFormat="1">
      <c r="A489" s="32"/>
      <c r="B489" s="33"/>
      <c r="C489" s="34"/>
      <c r="D489" s="35">
        <v>4.33</v>
      </c>
      <c r="E489" s="36">
        <v>3.17</v>
      </c>
      <c r="F489" s="37"/>
      <c r="G489" s="38"/>
      <c r="H489" s="39"/>
      <c r="I489" s="40">
        <f t="shared" ref="I489:I494" si="19">ROUND(PRODUCT(ROUND(PRODUCT(D489,E489,F489),2),G489,H489),2)</f>
        <v>13.73</v>
      </c>
    </row>
    <row r="490" spans="1:9" s="3" customFormat="1">
      <c r="A490" s="32"/>
      <c r="B490" s="33"/>
      <c r="C490" s="34"/>
      <c r="D490" s="35">
        <v>6.13</v>
      </c>
      <c r="E490" s="36">
        <f>3.17*0.5</f>
        <v>1.585</v>
      </c>
      <c r="F490" s="37"/>
      <c r="G490" s="38"/>
      <c r="H490" s="39"/>
      <c r="I490" s="40">
        <f t="shared" si="19"/>
        <v>9.7200000000000006</v>
      </c>
    </row>
    <row r="491" spans="1:9" s="3" customFormat="1">
      <c r="A491" s="32"/>
      <c r="B491" s="33"/>
      <c r="C491" s="34" t="s">
        <v>298</v>
      </c>
      <c r="D491" s="35">
        <v>1.02</v>
      </c>
      <c r="E491" s="36">
        <v>2.15</v>
      </c>
      <c r="F491" s="37"/>
      <c r="G491" s="38"/>
      <c r="H491" s="39">
        <v>-2</v>
      </c>
      <c r="I491" s="40">
        <f t="shared" si="19"/>
        <v>-4.38</v>
      </c>
    </row>
    <row r="492" spans="1:9" s="3" customFormat="1">
      <c r="A492" s="32"/>
      <c r="B492" s="33"/>
      <c r="C492" s="34"/>
      <c r="D492" s="35"/>
      <c r="E492" s="36"/>
      <c r="F492" s="37"/>
      <c r="G492" s="38"/>
      <c r="H492" s="39"/>
      <c r="I492" s="40">
        <f t="shared" si="19"/>
        <v>0</v>
      </c>
    </row>
    <row r="493" spans="1:9" s="3" customFormat="1">
      <c r="A493" s="32"/>
      <c r="B493" s="33"/>
      <c r="C493" s="34"/>
      <c r="D493" s="35"/>
      <c r="E493" s="36"/>
      <c r="F493" s="37"/>
      <c r="G493" s="38"/>
      <c r="H493" s="39"/>
      <c r="I493" s="40">
        <f t="shared" si="19"/>
        <v>0</v>
      </c>
    </row>
    <row r="494" spans="1:9" s="3" customFormat="1">
      <c r="A494" s="32"/>
      <c r="B494" s="33"/>
      <c r="C494" s="34"/>
      <c r="D494" s="35"/>
      <c r="E494" s="36"/>
      <c r="F494" s="37"/>
      <c r="G494" s="38"/>
      <c r="H494" s="39"/>
      <c r="I494" s="40">
        <f t="shared" si="19"/>
        <v>0</v>
      </c>
    </row>
    <row r="495" spans="1:9" s="3" customFormat="1">
      <c r="A495" s="14"/>
      <c r="B495" s="15"/>
      <c r="C495" s="16"/>
      <c r="D495" s="17" t="s">
        <v>278</v>
      </c>
      <c r="E495" s="18"/>
      <c r="F495" s="19"/>
      <c r="G495" s="20" t="s">
        <v>78</v>
      </c>
      <c r="H495" s="21" t="s">
        <v>105</v>
      </c>
      <c r="I495" s="41">
        <f>SUBTOTAL(9,I489:I494)</f>
        <v>19.070000000000004</v>
      </c>
    </row>
    <row r="496" spans="1:9" s="3" customFormat="1"/>
    <row r="497" spans="1:9" s="3" customFormat="1"/>
    <row r="498" spans="1:9" s="3" customFormat="1">
      <c r="A498" s="5" t="s">
        <v>205</v>
      </c>
      <c r="B498" s="6" t="s">
        <v>206</v>
      </c>
      <c r="C498" s="7"/>
      <c r="D498" s="8"/>
      <c r="E498" s="9"/>
      <c r="F498" s="10"/>
      <c r="G498" s="11"/>
      <c r="H498" s="12"/>
      <c r="I498" s="13"/>
    </row>
    <row r="499" spans="1:9" s="3" customFormat="1">
      <c r="A499" s="23"/>
      <c r="B499" s="24" t="s">
        <v>279</v>
      </c>
      <c r="C499" s="25"/>
      <c r="D499" s="26" t="s">
        <v>282</v>
      </c>
      <c r="E499" s="27" t="s">
        <v>283</v>
      </c>
      <c r="F499" s="28"/>
      <c r="G499" s="29" t="s">
        <v>280</v>
      </c>
      <c r="H499" s="30"/>
      <c r="I499" s="31" t="s">
        <v>281</v>
      </c>
    </row>
    <row r="500" spans="1:9" s="3" customFormat="1">
      <c r="A500" s="32"/>
      <c r="B500" s="33"/>
      <c r="C500" s="34"/>
      <c r="D500" s="35">
        <v>2.88</v>
      </c>
      <c r="E500" s="36">
        <v>2.73</v>
      </c>
      <c r="F500" s="37"/>
      <c r="G500" s="38"/>
      <c r="H500" s="39"/>
      <c r="I500" s="40">
        <f t="shared" ref="I500:I505" si="20">ROUND(PRODUCT(ROUND(PRODUCT(D500,E500,F500),2),G500,H500),2)</f>
        <v>7.86</v>
      </c>
    </row>
    <row r="501" spans="1:9" s="3" customFormat="1">
      <c r="A501" s="32"/>
      <c r="B501" s="33"/>
      <c r="C501" s="34"/>
      <c r="D501" s="35"/>
      <c r="E501" s="36"/>
      <c r="F501" s="37"/>
      <c r="G501" s="38"/>
      <c r="H501" s="39"/>
      <c r="I501" s="40">
        <f t="shared" si="20"/>
        <v>0</v>
      </c>
    </row>
    <row r="502" spans="1:9" s="3" customFormat="1">
      <c r="A502" s="32"/>
      <c r="B502" s="33"/>
      <c r="C502" s="34"/>
      <c r="D502" s="35"/>
      <c r="E502" s="36"/>
      <c r="F502" s="37"/>
      <c r="G502" s="38"/>
      <c r="H502" s="39"/>
      <c r="I502" s="40">
        <f t="shared" si="20"/>
        <v>0</v>
      </c>
    </row>
    <row r="503" spans="1:9" s="3" customFormat="1">
      <c r="A503" s="32"/>
      <c r="B503" s="33"/>
      <c r="C503" s="34"/>
      <c r="D503" s="35"/>
      <c r="E503" s="36"/>
      <c r="F503" s="37"/>
      <c r="G503" s="38"/>
      <c r="H503" s="39"/>
      <c r="I503" s="40">
        <f t="shared" si="20"/>
        <v>0</v>
      </c>
    </row>
    <row r="504" spans="1:9" s="3" customFormat="1">
      <c r="A504" s="32"/>
      <c r="B504" s="33"/>
      <c r="C504" s="34"/>
      <c r="D504" s="35"/>
      <c r="E504" s="36"/>
      <c r="F504" s="37"/>
      <c r="G504" s="38"/>
      <c r="H504" s="39"/>
      <c r="I504" s="40">
        <f t="shared" si="20"/>
        <v>0</v>
      </c>
    </row>
    <row r="505" spans="1:9" s="3" customFormat="1">
      <c r="A505" s="32"/>
      <c r="B505" s="33"/>
      <c r="C505" s="34"/>
      <c r="D505" s="35"/>
      <c r="E505" s="36"/>
      <c r="F505" s="37"/>
      <c r="G505" s="38"/>
      <c r="H505" s="39"/>
      <c r="I505" s="40">
        <f t="shared" si="20"/>
        <v>0</v>
      </c>
    </row>
    <row r="506" spans="1:9" s="3" customFormat="1">
      <c r="A506" s="14"/>
      <c r="B506" s="15"/>
      <c r="C506" s="16"/>
      <c r="D506" s="17" t="s">
        <v>278</v>
      </c>
      <c r="E506" s="18"/>
      <c r="F506" s="19"/>
      <c r="G506" s="20" t="s">
        <v>78</v>
      </c>
      <c r="H506" s="21" t="s">
        <v>105</v>
      </c>
      <c r="I506" s="41">
        <f>SUBTOTAL(9,I500:I505)</f>
        <v>7.86</v>
      </c>
    </row>
    <row r="507" spans="1:9" s="3" customFormat="1"/>
    <row r="508" spans="1:9" s="3" customFormat="1"/>
    <row r="509" spans="1:9" s="3" customFormat="1">
      <c r="A509" s="5" t="s">
        <v>207</v>
      </c>
      <c r="B509" s="6" t="s">
        <v>208</v>
      </c>
      <c r="C509" s="7"/>
      <c r="D509" s="8"/>
      <c r="E509" s="9"/>
      <c r="F509" s="10"/>
      <c r="G509" s="11"/>
      <c r="H509" s="12"/>
      <c r="I509" s="13"/>
    </row>
    <row r="510" spans="1:9" s="3" customFormat="1"/>
    <row r="511" spans="1:9" s="3" customFormat="1"/>
    <row r="512" spans="1:9" s="3" customFormat="1">
      <c r="A512" s="5" t="s">
        <v>209</v>
      </c>
      <c r="B512" s="6" t="s">
        <v>210</v>
      </c>
      <c r="C512" s="7"/>
      <c r="D512" s="8"/>
      <c r="E512" s="9"/>
      <c r="F512" s="10"/>
      <c r="G512" s="11"/>
      <c r="H512" s="12"/>
      <c r="I512" s="13"/>
    </row>
    <row r="513" spans="1:9" s="3" customFormat="1">
      <c r="A513" s="23"/>
      <c r="B513" s="24" t="s">
        <v>279</v>
      </c>
      <c r="C513" s="25"/>
      <c r="D513" s="26" t="s">
        <v>282</v>
      </c>
      <c r="E513" s="27" t="s">
        <v>283</v>
      </c>
      <c r="F513" s="28"/>
      <c r="G513" s="29" t="s">
        <v>280</v>
      </c>
      <c r="H513" s="30"/>
      <c r="I513" s="31" t="s">
        <v>281</v>
      </c>
    </row>
    <row r="514" spans="1:9" s="3" customFormat="1">
      <c r="A514" s="32"/>
      <c r="B514" s="33"/>
      <c r="C514" s="34"/>
      <c r="D514" s="35">
        <v>32.4</v>
      </c>
      <c r="E514" s="36">
        <v>0.62</v>
      </c>
      <c r="F514" s="37"/>
      <c r="G514" s="38"/>
      <c r="H514" s="39">
        <v>2</v>
      </c>
      <c r="I514" s="40">
        <f t="shared" ref="I514:I519" si="21">ROUND(PRODUCT(ROUND(PRODUCT(D514,E514,F514),2),G514,H514),2)</f>
        <v>40.18</v>
      </c>
    </row>
    <row r="515" spans="1:9" s="3" customFormat="1">
      <c r="A515" s="32"/>
      <c r="B515" s="33"/>
      <c r="C515" s="34" t="s">
        <v>299</v>
      </c>
      <c r="D515" s="35">
        <v>1.72</v>
      </c>
      <c r="E515" s="36">
        <v>0.62</v>
      </c>
      <c r="F515" s="37"/>
      <c r="G515" s="38"/>
      <c r="H515" s="39">
        <v>-6</v>
      </c>
      <c r="I515" s="40">
        <f t="shared" si="21"/>
        <v>-6.42</v>
      </c>
    </row>
    <row r="516" spans="1:9" s="3" customFormat="1">
      <c r="A516" s="32"/>
      <c r="B516" s="33"/>
      <c r="C516" s="34"/>
      <c r="D516" s="35"/>
      <c r="E516" s="36"/>
      <c r="F516" s="37"/>
      <c r="G516" s="38"/>
      <c r="H516" s="39"/>
      <c r="I516" s="40">
        <f t="shared" si="21"/>
        <v>0</v>
      </c>
    </row>
    <row r="517" spans="1:9" s="3" customFormat="1">
      <c r="A517" s="32"/>
      <c r="B517" s="33"/>
      <c r="C517" s="34"/>
      <c r="D517" s="35"/>
      <c r="E517" s="36"/>
      <c r="F517" s="37"/>
      <c r="G517" s="38"/>
      <c r="H517" s="39"/>
      <c r="I517" s="40">
        <f t="shared" si="21"/>
        <v>0</v>
      </c>
    </row>
    <row r="518" spans="1:9" s="3" customFormat="1">
      <c r="A518" s="32"/>
      <c r="B518" s="33"/>
      <c r="C518" s="34"/>
      <c r="D518" s="35"/>
      <c r="E518" s="36"/>
      <c r="F518" s="37"/>
      <c r="G518" s="38"/>
      <c r="H518" s="39"/>
      <c r="I518" s="40">
        <f t="shared" si="21"/>
        <v>0</v>
      </c>
    </row>
    <row r="519" spans="1:9" s="3" customFormat="1">
      <c r="A519" s="32"/>
      <c r="B519" s="33"/>
      <c r="C519" s="34"/>
      <c r="D519" s="35"/>
      <c r="E519" s="36"/>
      <c r="F519" s="37"/>
      <c r="G519" s="38"/>
      <c r="H519" s="39"/>
      <c r="I519" s="40">
        <f t="shared" si="21"/>
        <v>0</v>
      </c>
    </row>
    <row r="520" spans="1:9" s="3" customFormat="1">
      <c r="A520" s="14"/>
      <c r="B520" s="15"/>
      <c r="C520" s="16"/>
      <c r="D520" s="17" t="s">
        <v>278</v>
      </c>
      <c r="E520" s="18"/>
      <c r="F520" s="19"/>
      <c r="G520" s="20" t="s">
        <v>78</v>
      </c>
      <c r="H520" s="21" t="s">
        <v>105</v>
      </c>
      <c r="I520" s="41">
        <f>SUBTOTAL(9,I514:I519)</f>
        <v>33.76</v>
      </c>
    </row>
    <row r="521" spans="1:9" s="3" customFormat="1"/>
    <row r="522" spans="1:9" s="3" customFormat="1"/>
    <row r="523" spans="1:9" s="3" customFormat="1">
      <c r="A523" s="5" t="s">
        <v>211</v>
      </c>
      <c r="B523" s="6" t="s">
        <v>212</v>
      </c>
      <c r="C523" s="7"/>
      <c r="D523" s="8"/>
      <c r="E523" s="9"/>
      <c r="F523" s="10"/>
      <c r="G523" s="11"/>
      <c r="H523" s="12"/>
      <c r="I523" s="13"/>
    </row>
    <row r="524" spans="1:9" s="3" customFormat="1"/>
    <row r="525" spans="1:9" s="3" customFormat="1"/>
    <row r="526" spans="1:9" s="3" customFormat="1">
      <c r="A526" s="5" t="s">
        <v>213</v>
      </c>
      <c r="B526" s="6" t="s">
        <v>214</v>
      </c>
      <c r="C526" s="7"/>
      <c r="D526" s="8"/>
      <c r="E526" s="9"/>
      <c r="F526" s="10"/>
      <c r="G526" s="11"/>
      <c r="H526" s="12"/>
      <c r="I526" s="13"/>
    </row>
    <row r="527" spans="1:9" s="3" customFormat="1"/>
    <row r="528" spans="1:9" s="3" customFormat="1"/>
    <row r="529" spans="1:9" s="3" customFormat="1">
      <c r="A529" s="5" t="s">
        <v>215</v>
      </c>
      <c r="B529" s="6" t="s">
        <v>216</v>
      </c>
      <c r="C529" s="7"/>
      <c r="D529" s="8"/>
      <c r="E529" s="9"/>
      <c r="F529" s="10"/>
      <c r="G529" s="11"/>
      <c r="H529" s="12"/>
      <c r="I529" s="13"/>
    </row>
    <row r="530" spans="1:9" s="3" customFormat="1">
      <c r="A530" s="23"/>
      <c r="B530" s="24" t="s">
        <v>279</v>
      </c>
      <c r="C530" s="25"/>
      <c r="D530" s="26" t="s">
        <v>282</v>
      </c>
      <c r="E530" s="27" t="s">
        <v>283</v>
      </c>
      <c r="F530" s="28"/>
      <c r="G530" s="29" t="s">
        <v>280</v>
      </c>
      <c r="H530" s="30"/>
      <c r="I530" s="31" t="s">
        <v>281</v>
      </c>
    </row>
    <row r="531" spans="1:9" s="3" customFormat="1">
      <c r="A531" s="32"/>
      <c r="B531" s="33" t="s">
        <v>300</v>
      </c>
      <c r="C531" s="34"/>
      <c r="D531" s="35">
        <v>3.8</v>
      </c>
      <c r="E531" s="36">
        <v>32.49</v>
      </c>
      <c r="F531" s="37"/>
      <c r="G531" s="38">
        <v>2</v>
      </c>
      <c r="H531" s="39"/>
      <c r="I531" s="40">
        <f t="shared" ref="I531:I536" si="22">ROUND(PRODUCT(ROUND(PRODUCT(D531,E531,F531),2),G531,H531),2)</f>
        <v>246.92</v>
      </c>
    </row>
    <row r="532" spans="1:9" s="3" customFormat="1">
      <c r="A532" s="32"/>
      <c r="B532" s="33"/>
      <c r="C532" s="34"/>
      <c r="D532" s="35"/>
      <c r="E532" s="36"/>
      <c r="F532" s="37"/>
      <c r="G532" s="38"/>
      <c r="H532" s="39"/>
      <c r="I532" s="40">
        <f t="shared" si="22"/>
        <v>0</v>
      </c>
    </row>
    <row r="533" spans="1:9" s="3" customFormat="1">
      <c r="A533" s="32"/>
      <c r="B533" s="33"/>
      <c r="C533" s="34"/>
      <c r="D533" s="35"/>
      <c r="E533" s="36"/>
      <c r="F533" s="37"/>
      <c r="G533" s="38"/>
      <c r="H533" s="39"/>
      <c r="I533" s="40">
        <f t="shared" si="22"/>
        <v>0</v>
      </c>
    </row>
    <row r="534" spans="1:9" s="3" customFormat="1">
      <c r="A534" s="32"/>
      <c r="B534" s="33"/>
      <c r="C534" s="34"/>
      <c r="D534" s="35"/>
      <c r="E534" s="36"/>
      <c r="F534" s="37"/>
      <c r="G534" s="38"/>
      <c r="H534" s="39"/>
      <c r="I534" s="40">
        <f t="shared" si="22"/>
        <v>0</v>
      </c>
    </row>
    <row r="535" spans="1:9" s="3" customFormat="1">
      <c r="A535" s="32"/>
      <c r="B535" s="33"/>
      <c r="C535" s="34"/>
      <c r="D535" s="35"/>
      <c r="E535" s="36"/>
      <c r="F535" s="37"/>
      <c r="G535" s="38"/>
      <c r="H535" s="39"/>
      <c r="I535" s="40">
        <f t="shared" si="22"/>
        <v>0</v>
      </c>
    </row>
    <row r="536" spans="1:9" s="3" customFormat="1">
      <c r="A536" s="32"/>
      <c r="B536" s="33"/>
      <c r="C536" s="34"/>
      <c r="D536" s="35"/>
      <c r="E536" s="36"/>
      <c r="F536" s="37"/>
      <c r="G536" s="38"/>
      <c r="H536" s="39"/>
      <c r="I536" s="40">
        <f t="shared" si="22"/>
        <v>0</v>
      </c>
    </row>
    <row r="537" spans="1:9" s="3" customFormat="1">
      <c r="A537" s="14"/>
      <c r="B537" s="15"/>
      <c r="C537" s="16"/>
      <c r="D537" s="17" t="s">
        <v>278</v>
      </c>
      <c r="E537" s="18"/>
      <c r="F537" s="19"/>
      <c r="G537" s="20" t="s">
        <v>78</v>
      </c>
      <c r="H537" s="21" t="s">
        <v>105</v>
      </c>
      <c r="I537" s="41">
        <f>SUBTOTAL(9,I531:I536)</f>
        <v>246.92</v>
      </c>
    </row>
    <row r="538" spans="1:9" s="3" customFormat="1"/>
    <row r="539" spans="1:9" s="3" customFormat="1"/>
    <row r="540" spans="1:9" s="3" customFormat="1">
      <c r="A540" s="5" t="s">
        <v>217</v>
      </c>
      <c r="B540" s="6"/>
      <c r="C540" s="7"/>
      <c r="D540" s="8"/>
      <c r="E540" s="9"/>
      <c r="F540" s="10"/>
      <c r="G540" s="11"/>
      <c r="H540" s="12"/>
      <c r="I540" s="13"/>
    </row>
    <row r="541" spans="1:9" s="3" customFormat="1"/>
    <row r="542" spans="1:9" s="3" customFormat="1"/>
    <row r="543" spans="1:9" s="3" customFormat="1">
      <c r="A543" s="5" t="s">
        <v>218</v>
      </c>
      <c r="B543" s="6" t="s">
        <v>219</v>
      </c>
      <c r="C543" s="7"/>
      <c r="D543" s="8"/>
      <c r="E543" s="9"/>
      <c r="F543" s="10"/>
      <c r="G543" s="11"/>
      <c r="H543" s="12"/>
      <c r="I543" s="13"/>
    </row>
    <row r="544" spans="1:9" s="3" customFormat="1"/>
    <row r="545" spans="1:9" s="3" customFormat="1"/>
    <row r="546" spans="1:9" s="3" customFormat="1">
      <c r="A546" s="5" t="s">
        <v>220</v>
      </c>
      <c r="B546" s="6" t="s">
        <v>221</v>
      </c>
      <c r="C546" s="7"/>
      <c r="D546" s="8"/>
      <c r="E546" s="9"/>
      <c r="F546" s="10"/>
      <c r="G546" s="11"/>
      <c r="H546" s="12"/>
      <c r="I546" s="13"/>
    </row>
    <row r="547" spans="1:9" s="3" customFormat="1"/>
    <row r="548" spans="1:9" s="3" customFormat="1"/>
    <row r="549" spans="1:9" s="3" customFormat="1">
      <c r="A549" s="5" t="s">
        <v>222</v>
      </c>
      <c r="B549" s="6" t="s">
        <v>223</v>
      </c>
      <c r="C549" s="7"/>
      <c r="D549" s="8"/>
      <c r="E549" s="9"/>
      <c r="F549" s="10"/>
      <c r="G549" s="11"/>
      <c r="H549" s="12"/>
      <c r="I549" s="13"/>
    </row>
    <row r="550" spans="1:9" s="3" customFormat="1">
      <c r="A550" s="23"/>
      <c r="B550" s="24" t="s">
        <v>279</v>
      </c>
      <c r="C550" s="25"/>
      <c r="D550" s="26" t="s">
        <v>284</v>
      </c>
      <c r="E550" s="27"/>
      <c r="F550" s="28"/>
      <c r="G550" s="29" t="s">
        <v>280</v>
      </c>
      <c r="H550" s="30"/>
      <c r="I550" s="31" t="s">
        <v>281</v>
      </c>
    </row>
    <row r="551" spans="1:9" s="3" customFormat="1">
      <c r="A551" s="32"/>
      <c r="B551" s="33"/>
      <c r="C551" s="34"/>
      <c r="D551" s="35">
        <v>4</v>
      </c>
      <c r="E551" s="36"/>
      <c r="F551" s="37"/>
      <c r="G551" s="38"/>
      <c r="H551" s="39"/>
      <c r="I551" s="42">
        <f t="shared" ref="I551:I556" si="23">ROUND(PRODUCT(ROUND(PRODUCT(D551,E551,F551),0),G551,H551),0)</f>
        <v>4</v>
      </c>
    </row>
    <row r="552" spans="1:9" s="3" customFormat="1">
      <c r="A552" s="32"/>
      <c r="B552" s="33"/>
      <c r="C552" s="34"/>
      <c r="D552" s="35"/>
      <c r="E552" s="36"/>
      <c r="F552" s="37"/>
      <c r="G552" s="38"/>
      <c r="H552" s="39"/>
      <c r="I552" s="42">
        <f t="shared" si="23"/>
        <v>0</v>
      </c>
    </row>
    <row r="553" spans="1:9" s="3" customFormat="1">
      <c r="A553" s="32"/>
      <c r="B553" s="33"/>
      <c r="C553" s="34"/>
      <c r="D553" s="35"/>
      <c r="E553" s="36"/>
      <c r="F553" s="37"/>
      <c r="G553" s="38"/>
      <c r="H553" s="39"/>
      <c r="I553" s="42">
        <f t="shared" si="23"/>
        <v>0</v>
      </c>
    </row>
    <row r="554" spans="1:9" s="3" customFormat="1">
      <c r="A554" s="32"/>
      <c r="B554" s="33"/>
      <c r="C554" s="34"/>
      <c r="D554" s="35"/>
      <c r="E554" s="36"/>
      <c r="F554" s="37"/>
      <c r="G554" s="38"/>
      <c r="H554" s="39"/>
      <c r="I554" s="42">
        <f t="shared" si="23"/>
        <v>0</v>
      </c>
    </row>
    <row r="555" spans="1:9" s="3" customFormat="1">
      <c r="A555" s="32"/>
      <c r="B555" s="33"/>
      <c r="C555" s="34"/>
      <c r="D555" s="35"/>
      <c r="E555" s="36"/>
      <c r="F555" s="37"/>
      <c r="G555" s="38"/>
      <c r="H555" s="39"/>
      <c r="I555" s="42">
        <f t="shared" si="23"/>
        <v>0</v>
      </c>
    </row>
    <row r="556" spans="1:9" s="3" customFormat="1">
      <c r="A556" s="32"/>
      <c r="B556" s="33"/>
      <c r="C556" s="34"/>
      <c r="D556" s="35"/>
      <c r="E556" s="36"/>
      <c r="F556" s="37"/>
      <c r="G556" s="38"/>
      <c r="H556" s="39"/>
      <c r="I556" s="42">
        <f t="shared" si="23"/>
        <v>0</v>
      </c>
    </row>
    <row r="557" spans="1:9" s="3" customFormat="1">
      <c r="A557" s="14"/>
      <c r="B557" s="15"/>
      <c r="C557" s="16"/>
      <c r="D557" s="17" t="s">
        <v>278</v>
      </c>
      <c r="E557" s="18"/>
      <c r="F557" s="19"/>
      <c r="G557" s="20" t="s">
        <v>78</v>
      </c>
      <c r="H557" s="21" t="s">
        <v>102</v>
      </c>
      <c r="I557" s="22">
        <f>SUBTOTAL(9,I551:I556)</f>
        <v>4</v>
      </c>
    </row>
    <row r="558" spans="1:9" s="3" customFormat="1"/>
    <row r="559" spans="1:9" s="3" customFormat="1"/>
    <row r="560" spans="1:9" s="3" customFormat="1">
      <c r="A560" s="5" t="s">
        <v>224</v>
      </c>
      <c r="B560" s="6" t="s">
        <v>225</v>
      </c>
      <c r="C560" s="7"/>
      <c r="D560" s="8"/>
      <c r="E560" s="9"/>
      <c r="F560" s="10"/>
      <c r="G560" s="11"/>
      <c r="H560" s="12"/>
      <c r="I560" s="13"/>
    </row>
    <row r="561" spans="1:9" s="3" customFormat="1"/>
    <row r="562" spans="1:9" s="3" customFormat="1"/>
    <row r="563" spans="1:9" s="3" customFormat="1">
      <c r="A563" s="5" t="s">
        <v>226</v>
      </c>
      <c r="B563" s="6" t="s">
        <v>227</v>
      </c>
      <c r="C563" s="7"/>
      <c r="D563" s="8"/>
      <c r="E563" s="9"/>
      <c r="F563" s="10"/>
      <c r="G563" s="11"/>
      <c r="H563" s="12"/>
      <c r="I563" s="13"/>
    </row>
    <row r="564" spans="1:9" s="3" customFormat="1"/>
    <row r="565" spans="1:9" s="3" customFormat="1"/>
    <row r="566" spans="1:9" s="3" customFormat="1">
      <c r="A566" s="5" t="s">
        <v>228</v>
      </c>
      <c r="B566" s="6" t="s">
        <v>229</v>
      </c>
      <c r="C566" s="7"/>
      <c r="D566" s="8"/>
      <c r="E566" s="9"/>
      <c r="F566" s="10"/>
      <c r="G566" s="11"/>
      <c r="H566" s="12"/>
      <c r="I566" s="13"/>
    </row>
    <row r="567" spans="1:9" s="3" customFormat="1"/>
    <row r="568" spans="1:9" s="3" customFormat="1"/>
    <row r="569" spans="1:9" s="3" customFormat="1">
      <c r="A569" s="5" t="s">
        <v>230</v>
      </c>
      <c r="B569" s="6" t="s">
        <v>231</v>
      </c>
      <c r="C569" s="7"/>
      <c r="D569" s="8"/>
      <c r="E569" s="9"/>
      <c r="F569" s="10"/>
      <c r="G569" s="11"/>
      <c r="H569" s="12"/>
      <c r="I569" s="13"/>
    </row>
    <row r="570" spans="1:9" s="3" customFormat="1"/>
    <row r="571" spans="1:9" s="3" customFormat="1"/>
    <row r="572" spans="1:9" s="3" customFormat="1">
      <c r="A572" s="5" t="s">
        <v>232</v>
      </c>
      <c r="B572" s="6" t="s">
        <v>233</v>
      </c>
      <c r="C572" s="7"/>
      <c r="D572" s="8"/>
      <c r="E572" s="9"/>
      <c r="F572" s="10"/>
      <c r="G572" s="11"/>
      <c r="H572" s="12"/>
      <c r="I572" s="13"/>
    </row>
    <row r="573" spans="1:9" s="3" customFormat="1"/>
    <row r="574" spans="1:9" s="3" customFormat="1"/>
    <row r="575" spans="1:9" s="3" customFormat="1">
      <c r="A575" s="5" t="s">
        <v>234</v>
      </c>
      <c r="B575" s="6" t="s">
        <v>235</v>
      </c>
      <c r="C575" s="7"/>
      <c r="D575" s="8"/>
      <c r="E575" s="9"/>
      <c r="F575" s="10"/>
      <c r="G575" s="11"/>
      <c r="H575" s="12"/>
      <c r="I575" s="13"/>
    </row>
    <row r="576" spans="1:9" s="3" customFormat="1"/>
    <row r="577" spans="1:9" s="3" customFormat="1"/>
    <row r="578" spans="1:9" s="3" customFormat="1">
      <c r="A578" s="5" t="s">
        <v>236</v>
      </c>
      <c r="B578" s="6" t="s">
        <v>237</v>
      </c>
      <c r="C578" s="7"/>
      <c r="D578" s="8"/>
      <c r="E578" s="9"/>
      <c r="F578" s="10"/>
      <c r="G578" s="11"/>
      <c r="H578" s="12"/>
      <c r="I578" s="13"/>
    </row>
    <row r="579" spans="1:9" s="3" customFormat="1"/>
    <row r="580" spans="1:9" s="3" customFormat="1"/>
    <row r="581" spans="1:9" s="3" customFormat="1">
      <c r="A581" s="5" t="s">
        <v>238</v>
      </c>
      <c r="B581" s="6" t="s">
        <v>239</v>
      </c>
      <c r="C581" s="7"/>
      <c r="D581" s="8"/>
      <c r="E581" s="9"/>
      <c r="F581" s="10"/>
      <c r="G581" s="11"/>
      <c r="H581" s="12"/>
      <c r="I581" s="13"/>
    </row>
    <row r="582" spans="1:9" s="3" customFormat="1">
      <c r="A582" s="23"/>
      <c r="B582" s="24" t="s">
        <v>279</v>
      </c>
      <c r="C582" s="25"/>
      <c r="D582" s="26" t="s">
        <v>284</v>
      </c>
      <c r="E582" s="27"/>
      <c r="F582" s="28"/>
      <c r="G582" s="29" t="s">
        <v>280</v>
      </c>
      <c r="H582" s="30"/>
      <c r="I582" s="31" t="s">
        <v>281</v>
      </c>
    </row>
    <row r="583" spans="1:9" s="3" customFormat="1">
      <c r="A583" s="32"/>
      <c r="B583" s="33" t="s">
        <v>301</v>
      </c>
      <c r="C583" s="34" t="s">
        <v>339</v>
      </c>
      <c r="D583" s="35">
        <v>3</v>
      </c>
      <c r="E583" s="36"/>
      <c r="F583" s="37"/>
      <c r="G583" s="38"/>
      <c r="H583" s="39"/>
      <c r="I583" s="42">
        <f t="shared" ref="I583:I588" si="24">ROUND(PRODUCT(ROUND(PRODUCT(D583,E583,F583),0),G583,H583),0)</f>
        <v>3</v>
      </c>
    </row>
    <row r="584" spans="1:9" s="3" customFormat="1">
      <c r="A584" s="32"/>
      <c r="B584" s="33" t="s">
        <v>302</v>
      </c>
      <c r="C584" s="34" t="s">
        <v>339</v>
      </c>
      <c r="D584" s="35">
        <v>2</v>
      </c>
      <c r="E584" s="36"/>
      <c r="F584" s="37"/>
      <c r="G584" s="38"/>
      <c r="H584" s="39"/>
      <c r="I584" s="42">
        <f t="shared" si="24"/>
        <v>2</v>
      </c>
    </row>
    <row r="585" spans="1:9" s="3" customFormat="1">
      <c r="A585" s="32"/>
      <c r="B585" s="33"/>
      <c r="C585" s="34" t="s">
        <v>340</v>
      </c>
      <c r="D585" s="35">
        <v>1</v>
      </c>
      <c r="E585" s="36"/>
      <c r="F585" s="37"/>
      <c r="G585" s="38"/>
      <c r="H585" s="39"/>
      <c r="I585" s="42">
        <f t="shared" si="24"/>
        <v>1</v>
      </c>
    </row>
    <row r="586" spans="1:9" s="3" customFormat="1">
      <c r="A586" s="32"/>
      <c r="B586" s="33"/>
      <c r="C586" s="34"/>
      <c r="D586" s="35"/>
      <c r="E586" s="36"/>
      <c r="F586" s="37"/>
      <c r="G586" s="38"/>
      <c r="H586" s="39"/>
      <c r="I586" s="42">
        <f t="shared" si="24"/>
        <v>0</v>
      </c>
    </row>
    <row r="587" spans="1:9" s="3" customFormat="1">
      <c r="A587" s="32"/>
      <c r="B587" s="33"/>
      <c r="C587" s="34"/>
      <c r="D587" s="35"/>
      <c r="E587" s="36"/>
      <c r="F587" s="37"/>
      <c r="G587" s="38"/>
      <c r="H587" s="39"/>
      <c r="I587" s="42">
        <f t="shared" si="24"/>
        <v>0</v>
      </c>
    </row>
    <row r="588" spans="1:9" s="3" customFormat="1">
      <c r="A588" s="32"/>
      <c r="B588" s="33"/>
      <c r="C588" s="34"/>
      <c r="D588" s="35"/>
      <c r="E588" s="36"/>
      <c r="F588" s="37"/>
      <c r="G588" s="38"/>
      <c r="H588" s="39"/>
      <c r="I588" s="42">
        <f t="shared" si="24"/>
        <v>0</v>
      </c>
    </row>
    <row r="589" spans="1:9" s="3" customFormat="1">
      <c r="A589" s="14"/>
      <c r="B589" s="15"/>
      <c r="C589" s="16"/>
      <c r="D589" s="17" t="s">
        <v>278</v>
      </c>
      <c r="E589" s="18"/>
      <c r="F589" s="19"/>
      <c r="G589" s="20" t="s">
        <v>78</v>
      </c>
      <c r="H589" s="21" t="s">
        <v>102</v>
      </c>
      <c r="I589" s="22">
        <f>SUBTOTAL(9,I583:I588)</f>
        <v>6</v>
      </c>
    </row>
    <row r="590" spans="1:9" s="3" customFormat="1"/>
    <row r="591" spans="1:9" s="3" customFormat="1"/>
    <row r="592" spans="1:9" s="3" customFormat="1">
      <c r="A592" s="5" t="s">
        <v>240</v>
      </c>
      <c r="B592" s="6" t="s">
        <v>241</v>
      </c>
      <c r="C592" s="7"/>
      <c r="D592" s="8"/>
      <c r="E592" s="9"/>
      <c r="F592" s="10"/>
      <c r="G592" s="11"/>
      <c r="H592" s="12"/>
      <c r="I592" s="13"/>
    </row>
    <row r="593" spans="1:9" s="3" customFormat="1"/>
    <row r="594" spans="1:9" s="3" customFormat="1"/>
    <row r="595" spans="1:9" s="3" customFormat="1">
      <c r="A595" s="5" t="s">
        <v>242</v>
      </c>
      <c r="B595" s="6" t="s">
        <v>243</v>
      </c>
      <c r="C595" s="7"/>
      <c r="D595" s="8"/>
      <c r="E595" s="9"/>
      <c r="F595" s="10"/>
      <c r="G595" s="11"/>
      <c r="H595" s="12"/>
      <c r="I595" s="13"/>
    </row>
    <row r="596" spans="1:9" s="3" customFormat="1"/>
    <row r="597" spans="1:9" s="3" customFormat="1"/>
    <row r="598" spans="1:9" s="3" customFormat="1">
      <c r="A598" s="5" t="s">
        <v>244</v>
      </c>
      <c r="B598" s="6" t="s">
        <v>245</v>
      </c>
      <c r="C598" s="7"/>
      <c r="D598" s="8"/>
      <c r="E598" s="9"/>
      <c r="F598" s="10"/>
      <c r="G598" s="11"/>
      <c r="H598" s="12"/>
      <c r="I598" s="13"/>
    </row>
    <row r="599" spans="1:9" s="3" customFormat="1">
      <c r="A599" s="23"/>
      <c r="B599" s="24" t="s">
        <v>279</v>
      </c>
      <c r="C599" s="25"/>
      <c r="D599" s="26" t="s">
        <v>284</v>
      </c>
      <c r="E599" s="27"/>
      <c r="F599" s="28"/>
      <c r="G599" s="29" t="s">
        <v>280</v>
      </c>
      <c r="H599" s="30"/>
      <c r="I599" s="31" t="s">
        <v>281</v>
      </c>
    </row>
    <row r="600" spans="1:9" s="3" customFormat="1">
      <c r="A600" s="32"/>
      <c r="B600" s="33"/>
      <c r="C600" s="34"/>
      <c r="D600" s="35"/>
      <c r="E600" s="36"/>
      <c r="F600" s="37"/>
      <c r="G600" s="38"/>
      <c r="H600" s="39"/>
      <c r="I600" s="42">
        <f t="shared" ref="I600:I605" si="25">ROUND(PRODUCT(ROUND(PRODUCT(D600,E600,F600),0),G600,H600),0)</f>
        <v>0</v>
      </c>
    </row>
    <row r="601" spans="1:9" s="3" customFormat="1">
      <c r="A601" s="32"/>
      <c r="B601" s="33" t="s">
        <v>301</v>
      </c>
      <c r="C601" s="34" t="s">
        <v>339</v>
      </c>
      <c r="D601" s="35">
        <f t="shared" ref="D601:D602" si="26">D583</f>
        <v>3</v>
      </c>
      <c r="E601" s="36"/>
      <c r="F601" s="37"/>
      <c r="G601" s="38"/>
      <c r="H601" s="39"/>
      <c r="I601" s="42">
        <f t="shared" si="25"/>
        <v>3</v>
      </c>
    </row>
    <row r="602" spans="1:9" s="3" customFormat="1">
      <c r="A602" s="32"/>
      <c r="B602" s="33" t="s">
        <v>302</v>
      </c>
      <c r="C602" s="34" t="s">
        <v>339</v>
      </c>
      <c r="D602" s="35">
        <f t="shared" si="26"/>
        <v>2</v>
      </c>
      <c r="E602" s="36"/>
      <c r="F602" s="37"/>
      <c r="G602" s="38"/>
      <c r="H602" s="39"/>
      <c r="I602" s="42">
        <f t="shared" si="25"/>
        <v>2</v>
      </c>
    </row>
    <row r="603" spans="1:9" s="3" customFormat="1">
      <c r="A603" s="32"/>
      <c r="B603" s="33"/>
      <c r="C603" s="34" t="s">
        <v>340</v>
      </c>
      <c r="D603" s="35">
        <f>D585*2</f>
        <v>2</v>
      </c>
      <c r="E603" s="36"/>
      <c r="F603" s="37"/>
      <c r="G603" s="38"/>
      <c r="H603" s="39"/>
      <c r="I603" s="42">
        <f t="shared" si="25"/>
        <v>2</v>
      </c>
    </row>
    <row r="604" spans="1:9" s="3" customFormat="1">
      <c r="A604" s="32"/>
      <c r="B604" s="33"/>
      <c r="C604" s="34"/>
      <c r="D604" s="35"/>
      <c r="E604" s="36"/>
      <c r="F604" s="37"/>
      <c r="G604" s="38"/>
      <c r="H604" s="39"/>
      <c r="I604" s="42">
        <f t="shared" si="25"/>
        <v>0</v>
      </c>
    </row>
    <row r="605" spans="1:9" s="3" customFormat="1">
      <c r="A605" s="32"/>
      <c r="B605" s="33"/>
      <c r="C605" s="34"/>
      <c r="D605" s="35"/>
      <c r="E605" s="36"/>
      <c r="F605" s="37"/>
      <c r="G605" s="38"/>
      <c r="H605" s="39"/>
      <c r="I605" s="42">
        <f t="shared" si="25"/>
        <v>0</v>
      </c>
    </row>
    <row r="606" spans="1:9" s="3" customFormat="1">
      <c r="A606" s="14"/>
      <c r="B606" s="15"/>
      <c r="C606" s="16"/>
      <c r="D606" s="17" t="s">
        <v>278</v>
      </c>
      <c r="E606" s="18"/>
      <c r="F606" s="19"/>
      <c r="G606" s="20" t="s">
        <v>246</v>
      </c>
      <c r="H606" s="21" t="s">
        <v>102</v>
      </c>
      <c r="I606" s="22">
        <f>SUBTOTAL(9,I600:I605)</f>
        <v>7</v>
      </c>
    </row>
    <row r="607" spans="1:9" s="3" customFormat="1"/>
    <row r="608" spans="1:9" s="3" customFormat="1"/>
    <row r="609" spans="1:9" s="3" customFormat="1">
      <c r="A609" s="5" t="s">
        <v>247</v>
      </c>
      <c r="B609" s="6" t="s">
        <v>248</v>
      </c>
      <c r="C609" s="7"/>
      <c r="D609" s="8"/>
      <c r="E609" s="9"/>
      <c r="F609" s="10"/>
      <c r="G609" s="11"/>
      <c r="H609" s="12"/>
      <c r="I609" s="13"/>
    </row>
    <row r="610" spans="1:9" s="3" customFormat="1">
      <c r="A610" s="23"/>
      <c r="B610" s="24" t="s">
        <v>279</v>
      </c>
      <c r="C610" s="25"/>
      <c r="D610" s="26" t="s">
        <v>284</v>
      </c>
      <c r="E610" s="27"/>
      <c r="F610" s="28"/>
      <c r="G610" s="29" t="s">
        <v>280</v>
      </c>
      <c r="H610" s="30"/>
      <c r="I610" s="31" t="s">
        <v>281</v>
      </c>
    </row>
    <row r="611" spans="1:9" s="3" customFormat="1">
      <c r="A611" s="32"/>
      <c r="B611" s="33"/>
      <c r="C611" s="34"/>
      <c r="D611" s="35"/>
      <c r="E611" s="36"/>
      <c r="F611" s="37"/>
      <c r="G611" s="38"/>
      <c r="H611" s="39"/>
      <c r="I611" s="42">
        <f t="shared" ref="I611:I616" si="27">ROUND(PRODUCT(ROUND(PRODUCT(D611,E611,F611),0),G611,H611),0)</f>
        <v>0</v>
      </c>
    </row>
    <row r="612" spans="1:9" s="3" customFormat="1">
      <c r="A612" s="32"/>
      <c r="B612" s="33"/>
      <c r="C612" s="34"/>
      <c r="D612" s="35">
        <v>0</v>
      </c>
      <c r="E612" s="36"/>
      <c r="F612" s="37"/>
      <c r="G612" s="38"/>
      <c r="H612" s="39"/>
      <c r="I612" s="42">
        <f t="shared" si="27"/>
        <v>0</v>
      </c>
    </row>
    <row r="613" spans="1:9" s="3" customFormat="1">
      <c r="A613" s="32"/>
      <c r="B613" s="33"/>
      <c r="C613" s="34"/>
      <c r="D613" s="35"/>
      <c r="E613" s="36"/>
      <c r="F613" s="37"/>
      <c r="G613" s="38"/>
      <c r="H613" s="39"/>
      <c r="I613" s="42">
        <f t="shared" si="27"/>
        <v>0</v>
      </c>
    </row>
    <row r="614" spans="1:9" s="3" customFormat="1">
      <c r="A614" s="32"/>
      <c r="B614" s="33"/>
      <c r="C614" s="34"/>
      <c r="D614" s="35"/>
      <c r="E614" s="36"/>
      <c r="F614" s="37"/>
      <c r="G614" s="38"/>
      <c r="H614" s="39"/>
      <c r="I614" s="42">
        <f t="shared" si="27"/>
        <v>0</v>
      </c>
    </row>
    <row r="615" spans="1:9" s="3" customFormat="1">
      <c r="A615" s="32"/>
      <c r="B615" s="33"/>
      <c r="C615" s="34"/>
      <c r="D615" s="35"/>
      <c r="E615" s="36"/>
      <c r="F615" s="37"/>
      <c r="G615" s="38"/>
      <c r="H615" s="39"/>
      <c r="I615" s="42">
        <f t="shared" si="27"/>
        <v>0</v>
      </c>
    </row>
    <row r="616" spans="1:9" s="3" customFormat="1">
      <c r="A616" s="32"/>
      <c r="B616" s="33"/>
      <c r="C616" s="34"/>
      <c r="D616" s="35"/>
      <c r="E616" s="36"/>
      <c r="F616" s="37"/>
      <c r="G616" s="38"/>
      <c r="H616" s="39"/>
      <c r="I616" s="42">
        <f t="shared" si="27"/>
        <v>0</v>
      </c>
    </row>
    <row r="617" spans="1:9" s="3" customFormat="1">
      <c r="A617" s="14"/>
      <c r="B617" s="15"/>
      <c r="C617" s="16"/>
      <c r="D617" s="17" t="s">
        <v>278</v>
      </c>
      <c r="E617" s="18"/>
      <c r="F617" s="19"/>
      <c r="G617" s="20" t="s">
        <v>341</v>
      </c>
      <c r="H617" s="21" t="s">
        <v>102</v>
      </c>
      <c r="I617" s="22">
        <f>SUBTOTAL(9,I611:I616)</f>
        <v>0</v>
      </c>
    </row>
    <row r="618" spans="1:9" s="3" customFormat="1"/>
    <row r="619" spans="1:9" s="3" customFormat="1"/>
    <row r="620" spans="1:9" s="3" customFormat="1">
      <c r="A620" s="5" t="s">
        <v>343</v>
      </c>
      <c r="B620" s="6" t="s">
        <v>342</v>
      </c>
      <c r="C620" s="7"/>
      <c r="D620" s="8"/>
      <c r="E620" s="9"/>
      <c r="F620" s="10"/>
      <c r="G620" s="11"/>
      <c r="H620" s="12"/>
      <c r="I620" s="13"/>
    </row>
    <row r="621" spans="1:9" s="3" customFormat="1">
      <c r="A621" s="23"/>
      <c r="B621" s="24" t="s">
        <v>279</v>
      </c>
      <c r="C621" s="25"/>
      <c r="D621" s="26" t="s">
        <v>284</v>
      </c>
      <c r="E621" s="27"/>
      <c r="F621" s="28"/>
      <c r="G621" s="29" t="s">
        <v>280</v>
      </c>
      <c r="H621" s="30"/>
      <c r="I621" s="31" t="s">
        <v>281</v>
      </c>
    </row>
    <row r="622" spans="1:9" s="3" customFormat="1">
      <c r="A622" s="32"/>
      <c r="B622" s="33"/>
      <c r="C622" s="34"/>
      <c r="D622" s="35"/>
      <c r="E622" s="36"/>
      <c r="F622" s="37"/>
      <c r="G622" s="38"/>
      <c r="H622" s="39"/>
      <c r="I622" s="42">
        <f t="shared" ref="I622:I627" si="28">ROUND(PRODUCT(ROUND(PRODUCT(D622,E622,F622),0),G622,H622),0)</f>
        <v>0</v>
      </c>
    </row>
    <row r="623" spans="1:9" s="3" customFormat="1">
      <c r="A623" s="32"/>
      <c r="B623" s="33" t="s">
        <v>301</v>
      </c>
      <c r="C623" s="34" t="s">
        <v>339</v>
      </c>
      <c r="D623" s="35">
        <v>4</v>
      </c>
      <c r="E623" s="36"/>
      <c r="F623" s="37"/>
      <c r="G623" s="38"/>
      <c r="H623" s="39"/>
      <c r="I623" s="42">
        <f t="shared" si="28"/>
        <v>4</v>
      </c>
    </row>
    <row r="624" spans="1:9" s="3" customFormat="1">
      <c r="A624" s="32"/>
      <c r="B624" s="33"/>
      <c r="C624" s="34"/>
      <c r="D624" s="35"/>
      <c r="E624" s="36"/>
      <c r="F624" s="37"/>
      <c r="G624" s="38"/>
      <c r="H624" s="39"/>
      <c r="I624" s="42">
        <f t="shared" si="28"/>
        <v>0</v>
      </c>
    </row>
    <row r="625" spans="1:9" s="3" customFormat="1">
      <c r="A625" s="32"/>
      <c r="B625" s="33"/>
      <c r="C625" s="34"/>
      <c r="D625" s="35"/>
      <c r="E625" s="36"/>
      <c r="F625" s="37"/>
      <c r="G625" s="38"/>
      <c r="H625" s="39"/>
      <c r="I625" s="42">
        <f t="shared" si="28"/>
        <v>0</v>
      </c>
    </row>
    <row r="626" spans="1:9" s="3" customFormat="1">
      <c r="A626" s="32"/>
      <c r="B626" s="33"/>
      <c r="C626" s="34"/>
      <c r="D626" s="35"/>
      <c r="E626" s="36"/>
      <c r="F626" s="37"/>
      <c r="G626" s="38"/>
      <c r="H626" s="39"/>
      <c r="I626" s="42">
        <f t="shared" si="28"/>
        <v>0</v>
      </c>
    </row>
    <row r="627" spans="1:9" s="3" customFormat="1">
      <c r="A627" s="32"/>
      <c r="B627" s="33"/>
      <c r="C627" s="34"/>
      <c r="D627" s="35"/>
      <c r="E627" s="36"/>
      <c r="F627" s="37"/>
      <c r="G627" s="38"/>
      <c r="H627" s="39"/>
      <c r="I627" s="42">
        <f t="shared" si="28"/>
        <v>0</v>
      </c>
    </row>
    <row r="628" spans="1:9" s="3" customFormat="1">
      <c r="A628" s="14"/>
      <c r="B628" s="15"/>
      <c r="C628" s="16"/>
      <c r="D628" s="17" t="s">
        <v>278</v>
      </c>
      <c r="E628" s="18"/>
      <c r="F628" s="19"/>
      <c r="G628" s="20" t="s">
        <v>78</v>
      </c>
      <c r="H628" s="21" t="s">
        <v>102</v>
      </c>
      <c r="I628" s="22">
        <f>SUBTOTAL(9,I622:I627)</f>
        <v>4</v>
      </c>
    </row>
    <row r="629" spans="1:9" s="3" customFormat="1"/>
    <row r="630" spans="1:9" s="3" customFormat="1"/>
    <row r="631" spans="1:9" s="3" customFormat="1">
      <c r="A631" s="5" t="s">
        <v>249</v>
      </c>
      <c r="B631" s="6" t="s">
        <v>250</v>
      </c>
      <c r="C631" s="7"/>
      <c r="D631" s="8"/>
      <c r="E631" s="9"/>
      <c r="F631" s="10"/>
      <c r="G631" s="11"/>
      <c r="H631" s="12"/>
      <c r="I631" s="13"/>
    </row>
    <row r="632" spans="1:9" s="3" customFormat="1"/>
    <row r="633" spans="1:9" s="3" customFormat="1"/>
    <row r="634" spans="1:9" s="3" customFormat="1">
      <c r="A634" s="5" t="s">
        <v>251</v>
      </c>
      <c r="B634" s="6" t="s">
        <v>252</v>
      </c>
      <c r="C634" s="7"/>
      <c r="D634" s="8"/>
      <c r="E634" s="9"/>
      <c r="F634" s="10"/>
      <c r="G634" s="11"/>
      <c r="H634" s="12"/>
      <c r="I634" s="13"/>
    </row>
    <row r="635" spans="1:9" s="3" customFormat="1"/>
    <row r="636" spans="1:9" s="3" customFormat="1"/>
    <row r="637" spans="1:9" s="3" customFormat="1">
      <c r="A637" s="5" t="s">
        <v>253</v>
      </c>
      <c r="B637" s="6" t="s">
        <v>254</v>
      </c>
      <c r="C637" s="7"/>
      <c r="D637" s="8"/>
      <c r="E637" s="9"/>
      <c r="F637" s="10"/>
      <c r="G637" s="11"/>
      <c r="H637" s="12"/>
      <c r="I637" s="13"/>
    </row>
    <row r="638" spans="1:9" s="3" customFormat="1">
      <c r="A638" s="23"/>
      <c r="B638" s="24" t="s">
        <v>279</v>
      </c>
      <c r="C638" s="25"/>
      <c r="D638" s="26" t="s">
        <v>284</v>
      </c>
      <c r="E638" s="27"/>
      <c r="F638" s="28"/>
      <c r="G638" s="29" t="s">
        <v>280</v>
      </c>
      <c r="H638" s="30"/>
      <c r="I638" s="31" t="s">
        <v>281</v>
      </c>
    </row>
    <row r="639" spans="1:9" s="3" customFormat="1">
      <c r="A639" s="32"/>
      <c r="B639" s="33"/>
      <c r="C639" s="34"/>
      <c r="D639" s="35"/>
      <c r="E639" s="36"/>
      <c r="F639" s="37"/>
      <c r="G639" s="38"/>
      <c r="H639" s="39"/>
      <c r="I639" s="42">
        <f t="shared" ref="I639:I644" si="29">ROUND(PRODUCT(ROUND(PRODUCT(D639,E639,F639),0),G639,H639),0)</f>
        <v>0</v>
      </c>
    </row>
    <row r="640" spans="1:9" s="3" customFormat="1">
      <c r="A640" s="32"/>
      <c r="B640" s="33" t="s">
        <v>301</v>
      </c>
      <c r="C640" s="34" t="s">
        <v>339</v>
      </c>
      <c r="D640" s="35">
        <v>4</v>
      </c>
      <c r="E640" s="36"/>
      <c r="F640" s="37"/>
      <c r="G640" s="38"/>
      <c r="H640" s="39"/>
      <c r="I640" s="42">
        <f t="shared" si="29"/>
        <v>4</v>
      </c>
    </row>
    <row r="641" spans="1:9" s="3" customFormat="1">
      <c r="A641" s="32"/>
      <c r="B641" s="33" t="s">
        <v>302</v>
      </c>
      <c r="C641" s="34" t="s">
        <v>339</v>
      </c>
      <c r="D641" s="35">
        <v>2</v>
      </c>
      <c r="E641" s="36"/>
      <c r="F641" s="37"/>
      <c r="G641" s="38"/>
      <c r="H641" s="39"/>
      <c r="I641" s="42">
        <f t="shared" si="29"/>
        <v>2</v>
      </c>
    </row>
    <row r="642" spans="1:9" s="3" customFormat="1">
      <c r="A642" s="32"/>
      <c r="B642" s="33"/>
      <c r="C642" s="34"/>
      <c r="D642" s="35"/>
      <c r="E642" s="36"/>
      <c r="F642" s="37"/>
      <c r="G642" s="38"/>
      <c r="H642" s="39"/>
      <c r="I642" s="42">
        <f t="shared" si="29"/>
        <v>0</v>
      </c>
    </row>
    <row r="643" spans="1:9" s="3" customFormat="1">
      <c r="A643" s="32"/>
      <c r="B643" s="33"/>
      <c r="C643" s="34"/>
      <c r="D643" s="35"/>
      <c r="E643" s="36"/>
      <c r="F643" s="37"/>
      <c r="G643" s="38"/>
      <c r="H643" s="39"/>
      <c r="I643" s="42">
        <f t="shared" si="29"/>
        <v>0</v>
      </c>
    </row>
    <row r="644" spans="1:9" s="3" customFormat="1">
      <c r="A644" s="32"/>
      <c r="B644" s="33"/>
      <c r="C644" s="34"/>
      <c r="D644" s="35"/>
      <c r="E644" s="36"/>
      <c r="F644" s="37"/>
      <c r="G644" s="38"/>
      <c r="H644" s="39"/>
      <c r="I644" s="42">
        <f t="shared" si="29"/>
        <v>0</v>
      </c>
    </row>
    <row r="645" spans="1:9" s="3" customFormat="1">
      <c r="A645" s="14"/>
      <c r="B645" s="15"/>
      <c r="C645" s="16"/>
      <c r="D645" s="17" t="s">
        <v>278</v>
      </c>
      <c r="E645" s="18"/>
      <c r="F645" s="19"/>
      <c r="G645" s="20" t="s">
        <v>78</v>
      </c>
      <c r="H645" s="21" t="s">
        <v>102</v>
      </c>
      <c r="I645" s="22">
        <f>SUBTOTAL(9,I639:I644)</f>
        <v>6</v>
      </c>
    </row>
    <row r="646" spans="1:9" s="3" customFormat="1"/>
    <row r="647" spans="1:9" s="3" customFormat="1"/>
    <row r="648" spans="1:9" s="3" customFormat="1">
      <c r="A648" s="5" t="s">
        <v>255</v>
      </c>
      <c r="B648" s="6" t="s">
        <v>256</v>
      </c>
      <c r="C648" s="7"/>
      <c r="D648" s="8"/>
      <c r="E648" s="9"/>
      <c r="F648" s="10"/>
      <c r="G648" s="11"/>
      <c r="H648" s="12"/>
      <c r="I648" s="13"/>
    </row>
    <row r="649" spans="1:9" s="3" customFormat="1"/>
    <row r="650" spans="1:9" s="3" customFormat="1"/>
    <row r="651" spans="1:9" s="3" customFormat="1">
      <c r="A651" s="5" t="s">
        <v>257</v>
      </c>
      <c r="B651" s="6" t="s">
        <v>258</v>
      </c>
      <c r="C651" s="7"/>
      <c r="D651" s="8"/>
      <c r="E651" s="9"/>
      <c r="F651" s="10"/>
      <c r="G651" s="11"/>
      <c r="H651" s="12"/>
      <c r="I651" s="13"/>
    </row>
    <row r="652" spans="1:9" s="3" customFormat="1"/>
    <row r="653" spans="1:9" s="3" customFormat="1"/>
    <row r="654" spans="1:9" s="3" customFormat="1">
      <c r="A654" s="5" t="s">
        <v>259</v>
      </c>
      <c r="B654" s="6" t="s">
        <v>260</v>
      </c>
      <c r="C654" s="7"/>
      <c r="D654" s="8"/>
      <c r="E654" s="9"/>
      <c r="F654" s="10"/>
      <c r="G654" s="11"/>
      <c r="H654" s="12"/>
      <c r="I654" s="13"/>
    </row>
    <row r="655" spans="1:9" s="3" customFormat="1">
      <c r="A655" s="14"/>
      <c r="B655" s="15"/>
      <c r="C655" s="16"/>
      <c r="D655" s="17" t="s">
        <v>278</v>
      </c>
      <c r="E655" s="18"/>
      <c r="F655" s="19"/>
      <c r="G655" s="20" t="s">
        <v>18</v>
      </c>
      <c r="H655" s="21"/>
      <c r="I655" s="22"/>
    </row>
    <row r="656" spans="1:9" s="3" customFormat="1"/>
    <row r="657" spans="1:9" s="3" customFormat="1"/>
    <row r="658" spans="1:9" s="3" customFormat="1">
      <c r="A658" s="5" t="s">
        <v>261</v>
      </c>
      <c r="B658" s="6" t="s">
        <v>262</v>
      </c>
      <c r="C658" s="7"/>
      <c r="D658" s="8"/>
      <c r="E658" s="9"/>
      <c r="F658" s="10"/>
      <c r="G658" s="11"/>
      <c r="H658" s="12"/>
      <c r="I658" s="13"/>
    </row>
    <row r="659" spans="1:9" s="3" customFormat="1"/>
    <row r="660" spans="1:9" s="3" customFormat="1"/>
    <row r="661" spans="1:9" s="3" customFormat="1">
      <c r="A661" s="5" t="s">
        <v>263</v>
      </c>
      <c r="B661" s="6" t="s">
        <v>264</v>
      </c>
      <c r="C661" s="7"/>
      <c r="D661" s="8"/>
      <c r="E661" s="9"/>
      <c r="F661" s="10"/>
      <c r="G661" s="11"/>
      <c r="H661" s="12"/>
      <c r="I661" s="13"/>
    </row>
    <row r="662" spans="1:9" s="3" customFormat="1">
      <c r="A662" s="14"/>
      <c r="B662" s="15"/>
      <c r="C662" s="16"/>
      <c r="D662" s="17" t="s">
        <v>278</v>
      </c>
      <c r="E662" s="18"/>
      <c r="F662" s="19"/>
      <c r="G662" s="20" t="s">
        <v>18</v>
      </c>
      <c r="H662" s="21"/>
      <c r="I662" s="22"/>
    </row>
    <row r="663" spans="1:9" s="3" customFormat="1"/>
    <row r="664" spans="1:9" s="3" customFormat="1"/>
    <row r="665" spans="1:9" s="3" customFormat="1">
      <c r="A665" s="5" t="s">
        <v>265</v>
      </c>
      <c r="B665" s="6" t="s">
        <v>266</v>
      </c>
      <c r="C665" s="7"/>
      <c r="D665" s="8"/>
      <c r="E665" s="9"/>
      <c r="F665" s="10"/>
      <c r="G665" s="11"/>
      <c r="H665" s="12"/>
      <c r="I665" s="13"/>
    </row>
    <row r="666" spans="1:9" s="3" customFormat="1">
      <c r="A666" s="14"/>
      <c r="B666" s="15"/>
      <c r="C666" s="16"/>
      <c r="D666" s="17" t="s">
        <v>278</v>
      </c>
      <c r="E666" s="18"/>
      <c r="F666" s="19"/>
      <c r="G666" s="20" t="s">
        <v>18</v>
      </c>
      <c r="H666" s="21"/>
      <c r="I666" s="22"/>
    </row>
    <row r="667" spans="1:9" s="3" customFormat="1"/>
    <row r="668" spans="1:9" s="3" customFormat="1"/>
    <row r="669" spans="1:9" s="3" customFormat="1">
      <c r="A669" s="5" t="s">
        <v>267</v>
      </c>
      <c r="B669" s="6" t="s">
        <v>268</v>
      </c>
      <c r="C669" s="7"/>
      <c r="D669" s="8"/>
      <c r="E669" s="9"/>
      <c r="F669" s="10"/>
      <c r="G669" s="11"/>
      <c r="H669" s="12"/>
      <c r="I669" s="13"/>
    </row>
    <row r="670" spans="1:9" s="3" customFormat="1">
      <c r="A670" s="14"/>
      <c r="B670" s="15"/>
      <c r="C670" s="16"/>
      <c r="D670" s="17" t="s">
        <v>278</v>
      </c>
      <c r="E670" s="18"/>
      <c r="F670" s="19"/>
      <c r="G670" s="20" t="s">
        <v>18</v>
      </c>
      <c r="H670" s="21"/>
      <c r="I670" s="22"/>
    </row>
    <row r="671" spans="1:9" s="3" customFormat="1"/>
    <row r="672" spans="1:9" s="3" customFormat="1"/>
    <row r="673" spans="1:9" s="3" customFormat="1">
      <c r="A673" s="5" t="s">
        <v>269</v>
      </c>
      <c r="B673" s="6" t="s">
        <v>270</v>
      </c>
      <c r="C673" s="7"/>
      <c r="D673" s="8"/>
      <c r="E673" s="9"/>
      <c r="F673" s="10"/>
      <c r="G673" s="11"/>
      <c r="H673" s="12"/>
      <c r="I673" s="13"/>
    </row>
    <row r="674" spans="1:9" s="3" customFormat="1"/>
    <row r="675" spans="1:9" s="3" customFormat="1"/>
    <row r="676" spans="1:9" s="3" customFormat="1">
      <c r="A676" s="5" t="s">
        <v>271</v>
      </c>
      <c r="B676" s="6" t="s">
        <v>272</v>
      </c>
      <c r="C676" s="7"/>
      <c r="D676" s="8"/>
      <c r="E676" s="9"/>
      <c r="F676" s="10"/>
      <c r="G676" s="11"/>
      <c r="H676" s="12"/>
      <c r="I676" s="13"/>
    </row>
    <row r="677" spans="1:9" s="3" customFormat="1">
      <c r="A677" s="14"/>
      <c r="B677" s="15"/>
      <c r="C677" s="16"/>
      <c r="D677" s="17" t="s">
        <v>278</v>
      </c>
      <c r="E677" s="18"/>
      <c r="F677" s="19"/>
      <c r="G677" s="20" t="s">
        <v>18</v>
      </c>
      <c r="H677" s="21"/>
      <c r="I677" s="22"/>
    </row>
    <row r="678" spans="1:9" s="3" customFormat="1"/>
    <row r="679" spans="1:9" s="3" customFormat="1"/>
    <row r="680" spans="1:9" s="3" customFormat="1">
      <c r="A680" s="5" t="s">
        <v>273</v>
      </c>
      <c r="B680" s="6" t="s">
        <v>274</v>
      </c>
      <c r="C680" s="7"/>
      <c r="D680" s="8"/>
      <c r="E680" s="9"/>
      <c r="F680" s="10"/>
      <c r="G680" s="11"/>
      <c r="H680" s="12"/>
      <c r="I680" s="13"/>
    </row>
    <row r="681" spans="1:9" s="3" customFormat="1">
      <c r="A681" s="14"/>
      <c r="B681" s="15"/>
      <c r="C681" s="16"/>
      <c r="D681" s="17" t="s">
        <v>278</v>
      </c>
      <c r="E681" s="18"/>
      <c r="F681" s="19"/>
      <c r="G681" s="20" t="s">
        <v>18</v>
      </c>
      <c r="H681" s="21"/>
      <c r="I681" s="22"/>
    </row>
    <row r="682" spans="1:9" s="3" customFormat="1"/>
    <row r="683" spans="1:9" s="3" customFormat="1"/>
    <row r="684" spans="1:9" s="3" customFormat="1">
      <c r="A684" s="5" t="s">
        <v>275</v>
      </c>
      <c r="B684" s="6" t="s">
        <v>174</v>
      </c>
      <c r="C684" s="7"/>
      <c r="D684" s="8"/>
      <c r="E684" s="9"/>
      <c r="F684" s="10"/>
      <c r="G684" s="11"/>
      <c r="H684" s="12"/>
      <c r="I684" s="13"/>
    </row>
    <row r="685" spans="1:9" s="3" customFormat="1"/>
    <row r="686" spans="1:9" s="3" customFormat="1"/>
    <row r="687" spans="1:9" s="3" customFormat="1">
      <c r="A687" s="5" t="s">
        <v>276</v>
      </c>
      <c r="B687" s="6" t="s">
        <v>277</v>
      </c>
      <c r="C687" s="7"/>
      <c r="D687" s="8"/>
      <c r="E687" s="9"/>
      <c r="F687" s="10"/>
      <c r="G687" s="11"/>
      <c r="H687" s="12"/>
      <c r="I687" s="13"/>
    </row>
    <row r="688" spans="1:9" s="3" customFormat="1">
      <c r="A688" s="23"/>
      <c r="B688" s="24" t="s">
        <v>279</v>
      </c>
      <c r="C688" s="25"/>
      <c r="D688" s="26" t="s">
        <v>284</v>
      </c>
      <c r="E688" s="27"/>
      <c r="F688" s="28"/>
      <c r="G688" s="29" t="s">
        <v>280</v>
      </c>
      <c r="H688" s="30"/>
      <c r="I688" s="31" t="s">
        <v>281</v>
      </c>
    </row>
    <row r="689" spans="1:9" s="3" customFormat="1">
      <c r="A689" s="32"/>
      <c r="B689" s="33"/>
      <c r="C689" s="34"/>
      <c r="D689" s="35">
        <f>I645+I606</f>
        <v>13</v>
      </c>
      <c r="E689" s="36"/>
      <c r="F689" s="37"/>
      <c r="G689" s="38"/>
      <c r="H689" s="39"/>
      <c r="I689" s="42">
        <f t="shared" ref="I689:I694" si="30">ROUND(PRODUCT(ROUND(PRODUCT(D689,E689,F689),0),G689,H689),0)</f>
        <v>13</v>
      </c>
    </row>
    <row r="690" spans="1:9" s="3" customFormat="1">
      <c r="A690" s="32"/>
      <c r="B690" s="33"/>
      <c r="C690" s="34"/>
      <c r="D690" s="35"/>
      <c r="E690" s="36"/>
      <c r="F690" s="37"/>
      <c r="G690" s="38"/>
      <c r="H690" s="39"/>
      <c r="I690" s="42">
        <f t="shared" si="30"/>
        <v>0</v>
      </c>
    </row>
    <row r="691" spans="1:9" s="3" customFormat="1">
      <c r="A691" s="32"/>
      <c r="B691" s="33"/>
      <c r="C691" s="34"/>
      <c r="D691" s="35"/>
      <c r="E691" s="36"/>
      <c r="F691" s="37"/>
      <c r="G691" s="38"/>
      <c r="H691" s="39"/>
      <c r="I691" s="42">
        <f t="shared" si="30"/>
        <v>0</v>
      </c>
    </row>
    <row r="692" spans="1:9" s="3" customFormat="1">
      <c r="A692" s="32"/>
      <c r="B692" s="33"/>
      <c r="C692" s="34"/>
      <c r="D692" s="35"/>
      <c r="E692" s="36"/>
      <c r="F692" s="37"/>
      <c r="G692" s="38"/>
      <c r="H692" s="39"/>
      <c r="I692" s="42">
        <f t="shared" si="30"/>
        <v>0</v>
      </c>
    </row>
    <row r="693" spans="1:9" s="3" customFormat="1">
      <c r="A693" s="32"/>
      <c r="B693" s="33"/>
      <c r="C693" s="34"/>
      <c r="D693" s="35"/>
      <c r="E693" s="36"/>
      <c r="F693" s="37"/>
      <c r="G693" s="38"/>
      <c r="H693" s="39"/>
      <c r="I693" s="42">
        <f t="shared" si="30"/>
        <v>0</v>
      </c>
    </row>
    <row r="694" spans="1:9" s="3" customFormat="1">
      <c r="A694" s="32"/>
      <c r="B694" s="33"/>
      <c r="C694" s="34"/>
      <c r="D694" s="35"/>
      <c r="E694" s="36"/>
      <c r="F694" s="37"/>
      <c r="G694" s="38"/>
      <c r="H694" s="39"/>
      <c r="I694" s="42">
        <f t="shared" si="30"/>
        <v>0</v>
      </c>
    </row>
    <row r="695" spans="1:9" s="3" customFormat="1">
      <c r="A695" s="14"/>
      <c r="B695" s="15"/>
      <c r="C695" s="16"/>
      <c r="D695" s="17" t="s">
        <v>278</v>
      </c>
      <c r="E695" s="18"/>
      <c r="F695" s="19"/>
      <c r="G695" s="20" t="s">
        <v>78</v>
      </c>
      <c r="H695" s="21" t="s">
        <v>102</v>
      </c>
      <c r="I695" s="22">
        <f>SUBTOTAL(9,I689:I694)</f>
        <v>13</v>
      </c>
    </row>
    <row r="696" spans="1:9" s="3" customFormat="1"/>
    <row r="697" spans="1:9" s="3" customFormat="1"/>
  </sheetData>
  <customSheetViews>
    <customSheetView guid="{C35C09A1-5BE4-4EF8-A92C-511B0418C985}" scale="115" zeroValues="0" hiddenRows="1" hiddenColumns="1" topLeftCell="A535">
      <selection activeCell="D624" sqref="D624"/>
    </customSheetView>
    <customSheetView guid="{7ACB7EB3-21E5-461F-8F50-99F8226D387A}" scale="115" zeroValues="0" hiddenRows="1" hiddenColumns="1" topLeftCell="A535">
      <selection activeCell="D624" sqref="D624"/>
    </customSheetView>
  </customSheetViews>
  <phoneticPr fontId="4" type="noConversion"/>
  <pageMargins left="0.78740157480314965" right="0.59055118110236227" top="0.78740157480314965" bottom="0.59055118110236227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835B-A12D-4185-8284-EA7F3BCBA6F4}">
  <dimension ref="A1:AD192"/>
  <sheetViews>
    <sheetView tabSelected="1" topLeftCell="A2" zoomScaleNormal="100" zoomScaleSheetLayoutView="100" workbookViewId="0">
      <pane xSplit="29" ySplit="8" topLeftCell="AD148" activePane="bottomRight" state="frozen"/>
      <selection activeCell="A2" sqref="A2"/>
      <selection pane="topRight" activeCell="AD2" sqref="AD2"/>
      <selection pane="bottomLeft" activeCell="A9" sqref="A9"/>
      <selection pane="bottomRight" activeCell="B169" sqref="B169"/>
    </sheetView>
  </sheetViews>
  <sheetFormatPr defaultRowHeight="12.75" outlineLevelCol="2"/>
  <cols>
    <col min="1" max="1" width="6.42578125" style="82" customWidth="1"/>
    <col min="2" max="2" width="9.7109375" style="50" customWidth="1"/>
    <col min="3" max="3" width="79.85546875" style="50" bestFit="1" customWidth="1"/>
    <col min="4" max="4" width="6.42578125" style="50" bestFit="1" customWidth="1"/>
    <col min="5" max="5" width="3.42578125" style="50" bestFit="1" customWidth="1"/>
    <col min="6" max="7" width="9.7109375" style="50" customWidth="1"/>
    <col min="8" max="8" width="11.140625" style="50" customWidth="1"/>
    <col min="9" max="9" width="12.7109375" style="50" bestFit="1" customWidth="1"/>
    <col min="10" max="10" width="17" style="50" customWidth="1"/>
    <col min="11" max="12" width="10.7109375" style="50" hidden="1" customWidth="1" outlineLevel="1"/>
    <col min="13" max="17" width="10.7109375" style="50" hidden="1" customWidth="1" outlineLevel="2"/>
    <col min="18" max="18" width="10.7109375" style="50" hidden="1" customWidth="1" outlineLevel="1"/>
    <col min="19" max="23" width="10.7109375" style="50" hidden="1" customWidth="1" outlineLevel="2"/>
    <col min="24" max="24" width="10.7109375" style="50" hidden="1" customWidth="1" outlineLevel="1"/>
    <col min="25" max="27" width="10.7109375" style="50" hidden="1" customWidth="1" outlineLevel="2"/>
    <col min="28" max="28" width="9.5703125" style="50" hidden="1" customWidth="1" outlineLevel="2"/>
    <col min="29" max="29" width="10.28515625" style="50" hidden="1" customWidth="1" outlineLevel="2"/>
    <col min="30" max="30" width="9.140625" style="50" collapsed="1"/>
    <col min="31" max="16384" width="9.140625" style="50"/>
  </cols>
  <sheetData>
    <row r="1" spans="1:29" hidden="1">
      <c r="A1" s="48"/>
      <c r="B1" s="49"/>
      <c r="C1" s="49"/>
      <c r="D1" s="49"/>
      <c r="E1" s="49"/>
      <c r="F1" s="49"/>
      <c r="G1" s="49"/>
      <c r="H1" s="49"/>
      <c r="I1" s="49"/>
      <c r="J1" s="49"/>
    </row>
    <row r="2" spans="1:29" s="2" customFormat="1"/>
    <row r="3" spans="1:29" s="2" customFormat="1">
      <c r="A3" s="2" t="s">
        <v>285</v>
      </c>
      <c r="B3" s="43" t="s">
        <v>286</v>
      </c>
      <c r="F3" s="44"/>
    </row>
    <row r="4" spans="1:29" s="2" customFormat="1">
      <c r="A4" s="2" t="s">
        <v>287</v>
      </c>
      <c r="B4" s="44" t="s">
        <v>292</v>
      </c>
      <c r="F4" s="44"/>
    </row>
    <row r="5" spans="1:29" s="2" customFormat="1">
      <c r="A5" s="2" t="s">
        <v>288</v>
      </c>
      <c r="B5" s="45" t="s">
        <v>289</v>
      </c>
    </row>
    <row r="6" spans="1:29" s="2" customFormat="1">
      <c r="A6" s="2" t="s">
        <v>290</v>
      </c>
      <c r="B6" s="45" t="s">
        <v>291</v>
      </c>
      <c r="I6" s="46"/>
      <c r="J6" s="46"/>
    </row>
    <row r="7" spans="1:29" s="2" customFormat="1">
      <c r="A7" s="4"/>
      <c r="B7" s="4"/>
      <c r="C7" s="4"/>
      <c r="D7" s="4"/>
      <c r="E7" s="4"/>
      <c r="F7" s="4"/>
      <c r="G7" s="4"/>
      <c r="H7" s="4"/>
      <c r="I7" s="4"/>
      <c r="J7" s="4"/>
    </row>
    <row r="8" spans="1:29" s="51" customFormat="1" ht="15" customHeight="1">
      <c r="L8" s="52" t="s">
        <v>303</v>
      </c>
      <c r="M8" s="53"/>
      <c r="N8" s="53"/>
      <c r="O8" s="53"/>
      <c r="P8" s="53"/>
      <c r="Q8" s="54"/>
      <c r="R8" s="55" t="s">
        <v>304</v>
      </c>
      <c r="S8" s="55"/>
      <c r="T8" s="55"/>
      <c r="U8" s="55"/>
      <c r="V8" s="55"/>
      <c r="W8" s="56"/>
      <c r="X8" s="57" t="s">
        <v>305</v>
      </c>
      <c r="Y8" s="57"/>
      <c r="Z8" s="57"/>
      <c r="AA8" s="57"/>
      <c r="AB8" s="57"/>
      <c r="AC8" s="58"/>
    </row>
    <row r="9" spans="1:29" s="71" customFormat="1">
      <c r="A9" s="59" t="s">
        <v>306</v>
      </c>
      <c r="B9" s="60" t="s">
        <v>307</v>
      </c>
      <c r="C9" s="61" t="s">
        <v>279</v>
      </c>
      <c r="D9" s="113" t="s">
        <v>308</v>
      </c>
      <c r="E9" s="114"/>
      <c r="F9" s="60" t="s">
        <v>309</v>
      </c>
      <c r="G9" s="62" t="s">
        <v>310</v>
      </c>
      <c r="H9" s="60" t="s">
        <v>311</v>
      </c>
      <c r="I9" s="63" t="s">
        <v>281</v>
      </c>
      <c r="J9" s="60"/>
      <c r="K9" s="64" t="s">
        <v>312</v>
      </c>
      <c r="L9" s="65" t="s">
        <v>313</v>
      </c>
      <c r="M9" s="65" t="s">
        <v>314</v>
      </c>
      <c r="N9" s="65" t="s">
        <v>315</v>
      </c>
      <c r="O9" s="65" t="s">
        <v>281</v>
      </c>
      <c r="P9" s="65" t="s">
        <v>316</v>
      </c>
      <c r="Q9" s="66" t="s">
        <v>317</v>
      </c>
      <c r="R9" s="67" t="s">
        <v>313</v>
      </c>
      <c r="S9" s="67" t="s">
        <v>314</v>
      </c>
      <c r="T9" s="67" t="s">
        <v>315</v>
      </c>
      <c r="U9" s="67" t="s">
        <v>281</v>
      </c>
      <c r="V9" s="67" t="s">
        <v>316</v>
      </c>
      <c r="W9" s="68" t="s">
        <v>317</v>
      </c>
      <c r="X9" s="69" t="s">
        <v>313</v>
      </c>
      <c r="Y9" s="69" t="s">
        <v>314</v>
      </c>
      <c r="Z9" s="69" t="s">
        <v>315</v>
      </c>
      <c r="AA9" s="69" t="s">
        <v>281</v>
      </c>
      <c r="AB9" s="69" t="s">
        <v>316</v>
      </c>
      <c r="AC9" s="70" t="s">
        <v>317</v>
      </c>
    </row>
    <row r="10" spans="1:29" s="71" customFormat="1">
      <c r="A10" s="3"/>
      <c r="B10" s="72" t="s">
        <v>321</v>
      </c>
      <c r="C10" s="73"/>
      <c r="D10" s="74"/>
      <c r="E10" s="73"/>
      <c r="F10" s="73"/>
      <c r="G10" s="73"/>
      <c r="H10" s="75"/>
      <c r="I10" s="75"/>
      <c r="J10" s="76"/>
      <c r="K10" s="77"/>
      <c r="L10" s="78"/>
      <c r="M10" s="73"/>
      <c r="N10" s="79"/>
      <c r="O10" s="75">
        <f t="shared" ref="O10:O41" si="0">IF(MID($D10,3,1)="-","*********",ROUND(IF(NOT(ISNUMBER($G10)),IF(NOT(ISNUMBER($F10)),1,$F10),$G10)*(IF(NOT(ISNUMBER(N10)),L10,N10)),2))</f>
        <v>0</v>
      </c>
      <c r="P10" s="80" t="str">
        <f t="shared" ref="P10:P41" si="1">IF(O$187=0,"",O10/O$187)</f>
        <v/>
      </c>
      <c r="Q10" s="81" t="str">
        <f t="shared" ref="Q10:Q41" si="2">IF($K10=0,"",IF(NOT(ISNUMBER(N10)),L10,N10)/$K10-1)</f>
        <v/>
      </c>
      <c r="R10" s="78"/>
      <c r="S10" s="73"/>
      <c r="T10" s="79"/>
      <c r="U10" s="75">
        <f t="shared" ref="U10:U41" si="3">IF(MID($D10,3,1)="-","*********",ROUND(IF(NOT(ISNUMBER($G10)),IF(NOT(ISNUMBER($F10)),1,$F10),$G10)*(IF(NOT(ISNUMBER(T10)),R10,T10)),2))</f>
        <v>0</v>
      </c>
      <c r="V10" s="80" t="str">
        <f t="shared" ref="V10:V41" si="4">IF(U$187=0,"",U10/U$187)</f>
        <v/>
      </c>
      <c r="W10" s="81" t="str">
        <f t="shared" ref="W10:W41" si="5">IF($K10=0,"",IF(NOT(ISNUMBER(T10)),R10,T10)/$K10-1)</f>
        <v/>
      </c>
      <c r="X10" s="78"/>
      <c r="Y10" s="73"/>
      <c r="Z10" s="79"/>
      <c r="AA10" s="75">
        <f t="shared" ref="AA10:AA41" si="6">IF(MID($D10,3,1)="-","*********",ROUND(IF(NOT(ISNUMBER($G10)),IF(NOT(ISNUMBER($F10)),1,$F10),$G10)*(IF(NOT(ISNUMBER(Z10)),X10,Z10)),2))</f>
        <v>0</v>
      </c>
      <c r="AB10" s="80" t="str">
        <f t="shared" ref="AB10:AB41" si="7">IF(AA$187=0,"",AA10/AA$187)</f>
        <v/>
      </c>
      <c r="AC10" s="81" t="str">
        <f t="shared" ref="AC10:AC41" si="8">IF($K10=0,"",IF(NOT(ISNUMBER(Z10)),X10,Z10)/$K10-1)</f>
        <v/>
      </c>
    </row>
    <row r="11" spans="1:29">
      <c r="A11" s="3"/>
      <c r="B11" s="83" t="str">
        <f>[1]!ArticleCode(Art_00.)</f>
        <v>00.</v>
      </c>
      <c r="C11" s="84" t="str">
        <f>[1]!ArticleDescription(Art_00.)</f>
        <v>ALGEMENE BEPALINGEN</v>
      </c>
      <c r="D11" s="73"/>
      <c r="E11" s="73"/>
      <c r="F11" s="73"/>
      <c r="G11" s="73"/>
      <c r="H11" s="75"/>
      <c r="I11" s="75"/>
      <c r="J11" s="76"/>
      <c r="K11" s="77"/>
      <c r="L11" s="78"/>
      <c r="M11" s="73"/>
      <c r="N11" s="79"/>
      <c r="O11" s="75">
        <f t="shared" si="0"/>
        <v>0</v>
      </c>
      <c r="P11" s="80" t="str">
        <f t="shared" si="1"/>
        <v/>
      </c>
      <c r="Q11" s="81" t="str">
        <f t="shared" si="2"/>
        <v/>
      </c>
      <c r="R11" s="78"/>
      <c r="S11" s="73"/>
      <c r="T11" s="79"/>
      <c r="U11" s="75">
        <f t="shared" si="3"/>
        <v>0</v>
      </c>
      <c r="V11" s="80" t="str">
        <f t="shared" si="4"/>
        <v/>
      </c>
      <c r="W11" s="81" t="str">
        <f t="shared" si="5"/>
        <v/>
      </c>
      <c r="X11" s="78"/>
      <c r="Y11" s="73"/>
      <c r="Z11" s="79"/>
      <c r="AA11" s="75">
        <f t="shared" si="6"/>
        <v>0</v>
      </c>
      <c r="AB11" s="80" t="str">
        <f t="shared" si="7"/>
        <v/>
      </c>
      <c r="AC11" s="81" t="str">
        <f t="shared" si="8"/>
        <v/>
      </c>
    </row>
    <row r="12" spans="1:29">
      <c r="A12" s="3"/>
      <c r="B12" s="83" t="str">
        <f>[1]!ArticleCode(Art_00.10.)</f>
        <v>00.10.</v>
      </c>
      <c r="C12" s="84" t="str">
        <f>[1]!ArticleDescription(Art_00.10.)</f>
        <v>projectgegevens</v>
      </c>
      <c r="D12" s="73"/>
      <c r="E12" s="73"/>
      <c r="F12" s="73"/>
      <c r="G12" s="73"/>
      <c r="H12" s="75"/>
      <c r="I12" s="75"/>
      <c r="J12" s="76"/>
      <c r="K12" s="77"/>
      <c r="L12" s="78"/>
      <c r="M12" s="73"/>
      <c r="N12" s="79"/>
      <c r="O12" s="75">
        <f t="shared" si="0"/>
        <v>0</v>
      </c>
      <c r="P12" s="80" t="str">
        <f t="shared" si="1"/>
        <v/>
      </c>
      <c r="Q12" s="81" t="str">
        <f t="shared" si="2"/>
        <v/>
      </c>
      <c r="R12" s="78"/>
      <c r="S12" s="73"/>
      <c r="T12" s="79"/>
      <c r="U12" s="75">
        <f t="shared" si="3"/>
        <v>0</v>
      </c>
      <c r="V12" s="80" t="str">
        <f t="shared" si="4"/>
        <v/>
      </c>
      <c r="W12" s="81" t="str">
        <f t="shared" si="5"/>
        <v/>
      </c>
      <c r="X12" s="78"/>
      <c r="Y12" s="73"/>
      <c r="Z12" s="79"/>
      <c r="AA12" s="75">
        <f t="shared" si="6"/>
        <v>0</v>
      </c>
      <c r="AB12" s="80" t="str">
        <f t="shared" si="7"/>
        <v/>
      </c>
      <c r="AC12" s="81" t="str">
        <f t="shared" si="8"/>
        <v/>
      </c>
    </row>
    <row r="13" spans="1:29">
      <c r="A13" s="3"/>
      <c r="B13" s="83" t="str">
        <f>[1]!ArticleCode(Art_00.20.)</f>
        <v>00.20.</v>
      </c>
      <c r="C13" s="84" t="str">
        <f>[1]!ArticleDescription(Art_00.20.)</f>
        <v>ontwerpteam</v>
      </c>
      <c r="D13" s="73"/>
      <c r="E13" s="73"/>
      <c r="F13" s="73"/>
      <c r="G13" s="73"/>
      <c r="H13" s="75"/>
      <c r="I13" s="75"/>
      <c r="J13" s="76"/>
      <c r="K13" s="77"/>
      <c r="L13" s="78"/>
      <c r="M13" s="73"/>
      <c r="N13" s="79"/>
      <c r="O13" s="75">
        <f t="shared" si="0"/>
        <v>0</v>
      </c>
      <c r="P13" s="80" t="str">
        <f t="shared" si="1"/>
        <v/>
      </c>
      <c r="Q13" s="81" t="str">
        <f t="shared" si="2"/>
        <v/>
      </c>
      <c r="R13" s="78"/>
      <c r="S13" s="73"/>
      <c r="T13" s="79"/>
      <c r="U13" s="75">
        <f t="shared" si="3"/>
        <v>0</v>
      </c>
      <c r="V13" s="80" t="str">
        <f t="shared" si="4"/>
        <v/>
      </c>
      <c r="W13" s="81" t="str">
        <f t="shared" si="5"/>
        <v/>
      </c>
      <c r="X13" s="78"/>
      <c r="Y13" s="73"/>
      <c r="Z13" s="79"/>
      <c r="AA13" s="75">
        <f t="shared" si="6"/>
        <v>0</v>
      </c>
      <c r="AB13" s="80" t="str">
        <f t="shared" si="7"/>
        <v/>
      </c>
      <c r="AC13" s="81" t="str">
        <f t="shared" si="8"/>
        <v/>
      </c>
    </row>
    <row r="14" spans="1:29">
      <c r="A14" s="3"/>
      <c r="B14" s="83" t="str">
        <f>[1]!ArticleCode(Art_00.21.)</f>
        <v>00.21.</v>
      </c>
      <c r="C14" s="84" t="str">
        <f>[1]!ArticleDescription(Art_00.21.)</f>
        <v>ontwerpteam - architecturaal ontwerp</v>
      </c>
      <c r="D14" s="73"/>
      <c r="E14" s="73"/>
      <c r="F14" s="73"/>
      <c r="G14" s="73"/>
      <c r="H14" s="75"/>
      <c r="I14" s="75"/>
      <c r="J14" s="76"/>
      <c r="K14" s="77"/>
      <c r="L14" s="78"/>
      <c r="M14" s="73"/>
      <c r="N14" s="79"/>
      <c r="O14" s="75">
        <f t="shared" si="0"/>
        <v>0</v>
      </c>
      <c r="P14" s="80" t="str">
        <f t="shared" si="1"/>
        <v/>
      </c>
      <c r="Q14" s="81" t="str">
        <f t="shared" si="2"/>
        <v/>
      </c>
      <c r="R14" s="78"/>
      <c r="S14" s="73"/>
      <c r="T14" s="79"/>
      <c r="U14" s="75">
        <f t="shared" si="3"/>
        <v>0</v>
      </c>
      <c r="V14" s="80" t="str">
        <f t="shared" si="4"/>
        <v/>
      </c>
      <c r="W14" s="81" t="str">
        <f t="shared" si="5"/>
        <v/>
      </c>
      <c r="X14" s="78"/>
      <c r="Y14" s="73"/>
      <c r="Z14" s="79"/>
      <c r="AA14" s="75">
        <f t="shared" si="6"/>
        <v>0</v>
      </c>
      <c r="AB14" s="80" t="str">
        <f t="shared" si="7"/>
        <v/>
      </c>
      <c r="AC14" s="81" t="str">
        <f t="shared" si="8"/>
        <v/>
      </c>
    </row>
    <row r="15" spans="1:29">
      <c r="A15" s="3"/>
      <c r="B15" s="83" t="str">
        <f>[1]!ArticleCode(Art_00.23.)</f>
        <v>00.23.</v>
      </c>
      <c r="C15" s="84" t="str">
        <f>[1]!ArticleDescription(Art_00.23.)</f>
        <v>ontwerpteam - studie technieken</v>
      </c>
      <c r="D15" s="73"/>
      <c r="E15" s="73"/>
      <c r="F15" s="73"/>
      <c r="G15" s="73"/>
      <c r="H15" s="75"/>
      <c r="I15" s="75"/>
      <c r="J15" s="76"/>
      <c r="K15" s="77"/>
      <c r="L15" s="78"/>
      <c r="M15" s="73"/>
      <c r="N15" s="79"/>
      <c r="O15" s="75">
        <f t="shared" si="0"/>
        <v>0</v>
      </c>
      <c r="P15" s="80" t="str">
        <f t="shared" si="1"/>
        <v/>
      </c>
      <c r="Q15" s="81" t="str">
        <f t="shared" si="2"/>
        <v/>
      </c>
      <c r="R15" s="78"/>
      <c r="S15" s="73"/>
      <c r="T15" s="79"/>
      <c r="U15" s="75">
        <f t="shared" si="3"/>
        <v>0</v>
      </c>
      <c r="V15" s="80" t="str">
        <f t="shared" si="4"/>
        <v/>
      </c>
      <c r="W15" s="81" t="str">
        <f t="shared" si="5"/>
        <v/>
      </c>
      <c r="X15" s="78"/>
      <c r="Y15" s="73"/>
      <c r="Z15" s="79"/>
      <c r="AA15" s="75">
        <f t="shared" si="6"/>
        <v>0</v>
      </c>
      <c r="AB15" s="80" t="str">
        <f t="shared" si="7"/>
        <v/>
      </c>
      <c r="AC15" s="81" t="str">
        <f t="shared" si="8"/>
        <v/>
      </c>
    </row>
    <row r="16" spans="1:29">
      <c r="A16" s="3"/>
      <c r="B16" s="83" t="str">
        <f>[1]!ArticleCode(Art_00.24.)</f>
        <v>00.24.</v>
      </c>
      <c r="C16" s="84" t="str">
        <f>[1]!ArticleDescription(Art_00.24.)</f>
        <v>veiligheidscoördinator</v>
      </c>
      <c r="D16" s="73"/>
      <c r="E16" s="73"/>
      <c r="F16" s="73"/>
      <c r="G16" s="73"/>
      <c r="H16" s="75"/>
      <c r="I16" s="75"/>
      <c r="J16" s="76"/>
      <c r="K16" s="77"/>
      <c r="L16" s="78"/>
      <c r="M16" s="73"/>
      <c r="N16" s="79"/>
      <c r="O16" s="75">
        <f t="shared" si="0"/>
        <v>0</v>
      </c>
      <c r="P16" s="80" t="str">
        <f t="shared" si="1"/>
        <v/>
      </c>
      <c r="Q16" s="81" t="str">
        <f t="shared" si="2"/>
        <v/>
      </c>
      <c r="R16" s="78"/>
      <c r="S16" s="73"/>
      <c r="T16" s="79"/>
      <c r="U16" s="75">
        <f t="shared" si="3"/>
        <v>0</v>
      </c>
      <c r="V16" s="80" t="str">
        <f t="shared" si="4"/>
        <v/>
      </c>
      <c r="W16" s="81" t="str">
        <f t="shared" si="5"/>
        <v/>
      </c>
      <c r="X16" s="78"/>
      <c r="Y16" s="73"/>
      <c r="Z16" s="79"/>
      <c r="AA16" s="75">
        <f t="shared" si="6"/>
        <v>0</v>
      </c>
      <c r="AB16" s="80" t="str">
        <f t="shared" si="7"/>
        <v/>
      </c>
      <c r="AC16" s="81" t="str">
        <f t="shared" si="8"/>
        <v/>
      </c>
    </row>
    <row r="17" spans="1:29">
      <c r="A17" s="3"/>
      <c r="B17" s="85"/>
      <c r="C17" s="86"/>
      <c r="D17" s="87"/>
      <c r="E17" s="86"/>
      <c r="F17" s="86"/>
      <c r="G17" s="86"/>
      <c r="H17" s="88"/>
      <c r="I17" s="88"/>
      <c r="J17" s="89">
        <f>SUBTOTAL(9,I11:I16)</f>
        <v>0</v>
      </c>
      <c r="K17" s="77"/>
      <c r="L17" s="78"/>
      <c r="M17" s="73"/>
      <c r="N17" s="79"/>
      <c r="O17" s="75">
        <f t="shared" si="0"/>
        <v>0</v>
      </c>
      <c r="P17" s="80" t="str">
        <f t="shared" si="1"/>
        <v/>
      </c>
      <c r="Q17" s="81" t="str">
        <f t="shared" si="2"/>
        <v/>
      </c>
      <c r="R17" s="78"/>
      <c r="S17" s="73"/>
      <c r="T17" s="79"/>
      <c r="U17" s="75">
        <f t="shared" si="3"/>
        <v>0</v>
      </c>
      <c r="V17" s="80" t="str">
        <f t="shared" si="4"/>
        <v/>
      </c>
      <c r="W17" s="81" t="str">
        <f t="shared" si="5"/>
        <v/>
      </c>
      <c r="X17" s="78"/>
      <c r="Y17" s="73"/>
      <c r="Z17" s="79"/>
      <c r="AA17" s="75">
        <f t="shared" si="6"/>
        <v>0</v>
      </c>
      <c r="AB17" s="80" t="str">
        <f t="shared" si="7"/>
        <v/>
      </c>
      <c r="AC17" s="81" t="str">
        <f t="shared" si="8"/>
        <v/>
      </c>
    </row>
    <row r="18" spans="1:29">
      <c r="A18" s="3"/>
      <c r="B18" s="90"/>
      <c r="C18" s="73"/>
      <c r="D18" s="73"/>
      <c r="E18" s="73"/>
      <c r="F18" s="73"/>
      <c r="G18" s="73"/>
      <c r="H18" s="75"/>
      <c r="I18" s="75"/>
      <c r="J18" s="76"/>
      <c r="K18" s="77"/>
      <c r="L18" s="78"/>
      <c r="M18" s="73"/>
      <c r="N18" s="79"/>
      <c r="O18" s="75">
        <f t="shared" si="0"/>
        <v>0</v>
      </c>
      <c r="P18" s="80" t="str">
        <f t="shared" si="1"/>
        <v/>
      </c>
      <c r="Q18" s="81" t="str">
        <f t="shared" si="2"/>
        <v/>
      </c>
      <c r="R18" s="78"/>
      <c r="S18" s="73"/>
      <c r="T18" s="79"/>
      <c r="U18" s="75">
        <f t="shared" si="3"/>
        <v>0</v>
      </c>
      <c r="V18" s="80" t="str">
        <f t="shared" si="4"/>
        <v/>
      </c>
      <c r="W18" s="81" t="str">
        <f t="shared" si="5"/>
        <v/>
      </c>
      <c r="X18" s="78"/>
      <c r="Y18" s="73"/>
      <c r="Z18" s="79"/>
      <c r="AA18" s="75">
        <f t="shared" si="6"/>
        <v>0</v>
      </c>
      <c r="AB18" s="80" t="str">
        <f t="shared" si="7"/>
        <v/>
      </c>
      <c r="AC18" s="81" t="str">
        <f t="shared" si="8"/>
        <v/>
      </c>
    </row>
    <row r="19" spans="1:29">
      <c r="A19" s="3"/>
      <c r="B19" s="72" t="s">
        <v>322</v>
      </c>
      <c r="C19" s="73"/>
      <c r="D19" s="74"/>
      <c r="E19" s="73"/>
      <c r="F19" s="73"/>
      <c r="G19" s="73"/>
      <c r="H19" s="75"/>
      <c r="I19" s="75"/>
      <c r="J19" s="76"/>
      <c r="K19" s="77"/>
      <c r="L19" s="78"/>
      <c r="M19" s="73"/>
      <c r="N19" s="79"/>
      <c r="O19" s="75">
        <f t="shared" si="0"/>
        <v>0</v>
      </c>
      <c r="P19" s="80" t="str">
        <f t="shared" si="1"/>
        <v/>
      </c>
      <c r="Q19" s="81" t="str">
        <f t="shared" si="2"/>
        <v/>
      </c>
      <c r="R19" s="78"/>
      <c r="S19" s="73"/>
      <c r="T19" s="79"/>
      <c r="U19" s="75">
        <f t="shared" si="3"/>
        <v>0</v>
      </c>
      <c r="V19" s="80" t="str">
        <f t="shared" si="4"/>
        <v/>
      </c>
      <c r="W19" s="81" t="str">
        <f t="shared" si="5"/>
        <v/>
      </c>
      <c r="X19" s="78"/>
      <c r="Y19" s="73"/>
      <c r="Z19" s="79"/>
      <c r="AA19" s="75">
        <f t="shared" si="6"/>
        <v>0</v>
      </c>
      <c r="AB19" s="80" t="str">
        <f t="shared" si="7"/>
        <v/>
      </c>
      <c r="AC19" s="81" t="str">
        <f t="shared" si="8"/>
        <v/>
      </c>
    </row>
    <row r="20" spans="1:29">
      <c r="A20" s="3"/>
      <c r="B20" s="83" t="str">
        <f>[1]!ArticleCode(Art_01.)</f>
        <v>01.</v>
      </c>
      <c r="C20" s="84" t="str">
        <f>[1]!ArticleDescription(Art_01.)</f>
        <v>AANNEMINGSMODALITEITEN</v>
      </c>
      <c r="D20" s="73"/>
      <c r="E20" s="73"/>
      <c r="F20" s="73"/>
      <c r="G20" s="73"/>
      <c r="H20" s="75"/>
      <c r="I20" s="75"/>
      <c r="J20" s="76"/>
      <c r="K20" s="77"/>
      <c r="L20" s="78"/>
      <c r="M20" s="73"/>
      <c r="N20" s="79"/>
      <c r="O20" s="75">
        <f t="shared" si="0"/>
        <v>0</v>
      </c>
      <c r="P20" s="80" t="str">
        <f t="shared" si="1"/>
        <v/>
      </c>
      <c r="Q20" s="81" t="str">
        <f t="shared" si="2"/>
        <v/>
      </c>
      <c r="R20" s="78"/>
      <c r="S20" s="73"/>
      <c r="T20" s="79"/>
      <c r="U20" s="75">
        <f t="shared" si="3"/>
        <v>0</v>
      </c>
      <c r="V20" s="80" t="str">
        <f t="shared" si="4"/>
        <v/>
      </c>
      <c r="W20" s="81" t="str">
        <f t="shared" si="5"/>
        <v/>
      </c>
      <c r="X20" s="78"/>
      <c r="Y20" s="73"/>
      <c r="Z20" s="79"/>
      <c r="AA20" s="75">
        <f t="shared" si="6"/>
        <v>0</v>
      </c>
      <c r="AB20" s="80" t="str">
        <f t="shared" si="7"/>
        <v/>
      </c>
      <c r="AC20" s="81" t="str">
        <f t="shared" si="8"/>
        <v/>
      </c>
    </row>
    <row r="21" spans="1:29">
      <c r="A21" s="3"/>
      <c r="B21" s="83" t="str">
        <f>[1]!ArticleCode(Art_01.00.)</f>
        <v>01.00.</v>
      </c>
      <c r="C21" s="84" t="str">
        <f>[1]!ArticleDescription(Art_01.00.)</f>
        <v>aannemingsmodaliteiten - algemeen</v>
      </c>
      <c r="D21" s="73"/>
      <c r="E21" s="73"/>
      <c r="F21" s="73"/>
      <c r="G21" s="73"/>
      <c r="H21" s="75"/>
      <c r="I21" s="75"/>
      <c r="J21" s="76"/>
      <c r="K21" s="77"/>
      <c r="L21" s="78"/>
      <c r="M21" s="73"/>
      <c r="N21" s="79"/>
      <c r="O21" s="75">
        <f t="shared" si="0"/>
        <v>0</v>
      </c>
      <c r="P21" s="80" t="str">
        <f t="shared" si="1"/>
        <v/>
      </c>
      <c r="Q21" s="81" t="str">
        <f t="shared" si="2"/>
        <v/>
      </c>
      <c r="R21" s="78"/>
      <c r="S21" s="73"/>
      <c r="T21" s="79"/>
      <c r="U21" s="75">
        <f t="shared" si="3"/>
        <v>0</v>
      </c>
      <c r="V21" s="80" t="str">
        <f t="shared" si="4"/>
        <v/>
      </c>
      <c r="W21" s="81" t="str">
        <f t="shared" si="5"/>
        <v/>
      </c>
      <c r="X21" s="78"/>
      <c r="Y21" s="73"/>
      <c r="Z21" s="79"/>
      <c r="AA21" s="75">
        <f t="shared" si="6"/>
        <v>0</v>
      </c>
      <c r="AB21" s="80" t="str">
        <f t="shared" si="7"/>
        <v/>
      </c>
      <c r="AC21" s="81" t="str">
        <f t="shared" si="8"/>
        <v/>
      </c>
    </row>
    <row r="22" spans="1:29">
      <c r="A22" s="3">
        <v>1</v>
      </c>
      <c r="B22" s="83" t="str">
        <f>[1]!ArticleCode(Art_01.01.)</f>
        <v>01.01.</v>
      </c>
      <c r="C22" s="84" t="str">
        <f>[1]!ArticleDescription(Art_01.01.)</f>
        <v>aannemingsmodaliteiten – bestek</v>
      </c>
      <c r="D22" s="73" t="str">
        <f>[1]!ArticleMeasureType(Art_01.01.)</f>
        <v>PM</v>
      </c>
      <c r="E22" s="73" t="str">
        <f>[1]!ArticleMeasureUnit(Art_01.01.)</f>
        <v/>
      </c>
      <c r="F22" s="91" t="str">
        <f>[1]!ArticleQuantity(Art_01.01.)</f>
        <v/>
      </c>
      <c r="G22" s="73"/>
      <c r="H22" s="75"/>
      <c r="I22" s="75">
        <f t="shared" ref="I22:I28" si="9">IF(RIGHT($D22,1)="-","************",ROUND(IF(NOT(ISNUMBER(G22)),IF(NOT(ISNUMBER(F22)),1,F22),G22)*H22,2))</f>
        <v>0</v>
      </c>
      <c r="J22" s="76"/>
      <c r="K22" s="77"/>
      <c r="L22" s="78"/>
      <c r="M22" s="73"/>
      <c r="N22" s="79"/>
      <c r="O22" s="75">
        <f t="shared" si="0"/>
        <v>0</v>
      </c>
      <c r="P22" s="80" t="str">
        <f t="shared" si="1"/>
        <v/>
      </c>
      <c r="Q22" s="81" t="str">
        <f t="shared" si="2"/>
        <v/>
      </c>
      <c r="R22" s="78"/>
      <c r="S22" s="73"/>
      <c r="T22" s="79"/>
      <c r="U22" s="75">
        <f t="shared" si="3"/>
        <v>0</v>
      </c>
      <c r="V22" s="80" t="str">
        <f t="shared" si="4"/>
        <v/>
      </c>
      <c r="W22" s="81" t="str">
        <f t="shared" si="5"/>
        <v/>
      </c>
      <c r="X22" s="78"/>
      <c r="Y22" s="73"/>
      <c r="Z22" s="79"/>
      <c r="AA22" s="75">
        <f t="shared" si="6"/>
        <v>0</v>
      </c>
      <c r="AB22" s="80" t="str">
        <f t="shared" si="7"/>
        <v/>
      </c>
      <c r="AC22" s="81" t="str">
        <f t="shared" si="8"/>
        <v/>
      </c>
    </row>
    <row r="23" spans="1:29">
      <c r="A23" s="3">
        <f t="shared" ref="A23:A28" si="10">A22+1</f>
        <v>2</v>
      </c>
      <c r="B23" s="83" t="str">
        <f>[1]!ArticleCode(Art_01.02.)</f>
        <v>01.02.</v>
      </c>
      <c r="C23" s="84" t="str">
        <f>[1]!ArticleDescription(Art_01.02.)</f>
        <v>aannemingsmodaliteiten – voorafgaand plaatsbezoek</v>
      </c>
      <c r="D23" s="73" t="str">
        <f>[1]!ArticleMeasureType(Art_01.02.)</f>
        <v>PM</v>
      </c>
      <c r="E23" s="73" t="str">
        <f>[1]!ArticleMeasureUnit(Art_01.02.)</f>
        <v/>
      </c>
      <c r="F23" s="91" t="str">
        <f>[1]!ArticleQuantity(Art_01.02.)</f>
        <v/>
      </c>
      <c r="G23" s="73"/>
      <c r="H23" s="75"/>
      <c r="I23" s="75">
        <f t="shared" si="9"/>
        <v>0</v>
      </c>
      <c r="J23" s="76"/>
      <c r="K23" s="77"/>
      <c r="L23" s="78"/>
      <c r="M23" s="73"/>
      <c r="N23" s="79"/>
      <c r="O23" s="75">
        <f t="shared" si="0"/>
        <v>0</v>
      </c>
      <c r="P23" s="80" t="str">
        <f t="shared" si="1"/>
        <v/>
      </c>
      <c r="Q23" s="81" t="str">
        <f t="shared" si="2"/>
        <v/>
      </c>
      <c r="R23" s="78"/>
      <c r="S23" s="73"/>
      <c r="T23" s="79"/>
      <c r="U23" s="75">
        <f t="shared" si="3"/>
        <v>0</v>
      </c>
      <c r="V23" s="80" t="str">
        <f t="shared" si="4"/>
        <v/>
      </c>
      <c r="W23" s="81" t="str">
        <f t="shared" si="5"/>
        <v/>
      </c>
      <c r="X23" s="78"/>
      <c r="Y23" s="73"/>
      <c r="Z23" s="79"/>
      <c r="AA23" s="75">
        <f t="shared" si="6"/>
        <v>0</v>
      </c>
      <c r="AB23" s="80" t="str">
        <f t="shared" si="7"/>
        <v/>
      </c>
      <c r="AC23" s="81" t="str">
        <f t="shared" si="8"/>
        <v/>
      </c>
    </row>
    <row r="24" spans="1:29">
      <c r="A24" s="3">
        <f t="shared" si="10"/>
        <v>3</v>
      </c>
      <c r="B24" s="83" t="str">
        <f>[1]!ArticleCode(Art_01.03.)</f>
        <v>01.03.</v>
      </c>
      <c r="C24" s="84" t="str">
        <f>[1]!ArticleDescription(Art_01.03.)</f>
        <v>aannemingsmodaliteiten – burgerlijke aansprakelijkheid</v>
      </c>
      <c r="D24" s="73" t="str">
        <f>[1]!ArticleMeasureType(Art_01.03.)</f>
        <v>PM</v>
      </c>
      <c r="E24" s="73" t="str">
        <f>[1]!ArticleMeasureUnit(Art_01.03.)</f>
        <v/>
      </c>
      <c r="F24" s="91" t="str">
        <f>[1]!ArticleQuantity(Art_01.03.)</f>
        <v/>
      </c>
      <c r="G24" s="73"/>
      <c r="H24" s="75"/>
      <c r="I24" s="75">
        <f t="shared" si="9"/>
        <v>0</v>
      </c>
      <c r="J24" s="76"/>
      <c r="K24" s="77"/>
      <c r="L24" s="78"/>
      <c r="M24" s="73"/>
      <c r="N24" s="79"/>
      <c r="O24" s="75">
        <f t="shared" si="0"/>
        <v>0</v>
      </c>
      <c r="P24" s="80" t="str">
        <f t="shared" si="1"/>
        <v/>
      </c>
      <c r="Q24" s="81" t="str">
        <f t="shared" si="2"/>
        <v/>
      </c>
      <c r="R24" s="78"/>
      <c r="S24" s="73"/>
      <c r="T24" s="79"/>
      <c r="U24" s="75">
        <f t="shared" si="3"/>
        <v>0</v>
      </c>
      <c r="V24" s="80" t="str">
        <f t="shared" si="4"/>
        <v/>
      </c>
      <c r="W24" s="81" t="str">
        <f t="shared" si="5"/>
        <v/>
      </c>
      <c r="X24" s="78"/>
      <c r="Y24" s="73"/>
      <c r="Z24" s="79"/>
      <c r="AA24" s="75">
        <f t="shared" si="6"/>
        <v>0</v>
      </c>
      <c r="AB24" s="80" t="str">
        <f t="shared" si="7"/>
        <v/>
      </c>
      <c r="AC24" s="81" t="str">
        <f t="shared" si="8"/>
        <v/>
      </c>
    </row>
    <row r="25" spans="1:29">
      <c r="A25" s="3">
        <f t="shared" si="10"/>
        <v>4</v>
      </c>
      <c r="B25" s="83" t="str">
        <f>[1]!ArticleCode(Art_01.04.)</f>
        <v>01.04.</v>
      </c>
      <c r="C25" s="84" t="str">
        <f>[1]!ArticleDescription(Art_01.04.)</f>
        <v>aannemingsmodaliteiten – volledigheid van inschrijving</v>
      </c>
      <c r="D25" s="73" t="str">
        <f>[1]!ArticleMeasureType(Art_01.04.)</f>
        <v>PM</v>
      </c>
      <c r="E25" s="73" t="str">
        <f>[1]!ArticleMeasureUnit(Art_01.04.)</f>
        <v/>
      </c>
      <c r="F25" s="91" t="str">
        <f>[1]!ArticleQuantity(Art_01.04.)</f>
        <v/>
      </c>
      <c r="G25" s="73"/>
      <c r="H25" s="75"/>
      <c r="I25" s="75">
        <f t="shared" si="9"/>
        <v>0</v>
      </c>
      <c r="J25" s="76"/>
      <c r="K25" s="77"/>
      <c r="L25" s="78"/>
      <c r="M25" s="73"/>
      <c r="N25" s="79"/>
      <c r="O25" s="75">
        <f t="shared" si="0"/>
        <v>0</v>
      </c>
      <c r="P25" s="80" t="str">
        <f t="shared" si="1"/>
        <v/>
      </c>
      <c r="Q25" s="81" t="str">
        <f t="shared" si="2"/>
        <v/>
      </c>
      <c r="R25" s="78"/>
      <c r="S25" s="73"/>
      <c r="T25" s="79"/>
      <c r="U25" s="75">
        <f t="shared" si="3"/>
        <v>0</v>
      </c>
      <c r="V25" s="80" t="str">
        <f t="shared" si="4"/>
        <v/>
      </c>
      <c r="W25" s="81" t="str">
        <f t="shared" si="5"/>
        <v/>
      </c>
      <c r="X25" s="78"/>
      <c r="Y25" s="73"/>
      <c r="Z25" s="79"/>
      <c r="AA25" s="75">
        <f t="shared" si="6"/>
        <v>0</v>
      </c>
      <c r="AB25" s="80" t="str">
        <f t="shared" si="7"/>
        <v/>
      </c>
      <c r="AC25" s="81" t="str">
        <f t="shared" si="8"/>
        <v/>
      </c>
    </row>
    <row r="26" spans="1:29">
      <c r="A26" s="3">
        <f t="shared" si="10"/>
        <v>5</v>
      </c>
      <c r="B26" s="83" t="str">
        <f>[1]!ArticleCode(Art_01.05.)</f>
        <v>01.05.</v>
      </c>
      <c r="C26" s="84" t="str">
        <f>[1]!ArticleDescription(Art_01.05.)</f>
        <v>aannemingsmodaliteiten – onderaanneming</v>
      </c>
      <c r="D26" s="73" t="str">
        <f>[1]!ArticleMeasureType(Art_01.05.)</f>
        <v>PM</v>
      </c>
      <c r="E26" s="73" t="str">
        <f>[1]!ArticleMeasureUnit(Art_01.05.)</f>
        <v/>
      </c>
      <c r="F26" s="91" t="str">
        <f>[1]!ArticleQuantity(Art_01.05.)</f>
        <v/>
      </c>
      <c r="G26" s="73"/>
      <c r="H26" s="75"/>
      <c r="I26" s="75">
        <f t="shared" si="9"/>
        <v>0</v>
      </c>
      <c r="J26" s="76"/>
      <c r="K26" s="77"/>
      <c r="L26" s="78"/>
      <c r="M26" s="73"/>
      <c r="N26" s="79"/>
      <c r="O26" s="75">
        <f t="shared" si="0"/>
        <v>0</v>
      </c>
      <c r="P26" s="80" t="str">
        <f t="shared" si="1"/>
        <v/>
      </c>
      <c r="Q26" s="81" t="str">
        <f t="shared" si="2"/>
        <v/>
      </c>
      <c r="R26" s="78"/>
      <c r="S26" s="73"/>
      <c r="T26" s="79"/>
      <c r="U26" s="75">
        <f t="shared" si="3"/>
        <v>0</v>
      </c>
      <c r="V26" s="80" t="str">
        <f t="shared" si="4"/>
        <v/>
      </c>
      <c r="W26" s="81" t="str">
        <f t="shared" si="5"/>
        <v/>
      </c>
      <c r="X26" s="78"/>
      <c r="Y26" s="73"/>
      <c r="Z26" s="79"/>
      <c r="AA26" s="75">
        <f t="shared" si="6"/>
        <v>0</v>
      </c>
      <c r="AB26" s="80" t="str">
        <f t="shared" si="7"/>
        <v/>
      </c>
      <c r="AC26" s="81" t="str">
        <f t="shared" si="8"/>
        <v/>
      </c>
    </row>
    <row r="27" spans="1:29">
      <c r="A27" s="3">
        <f t="shared" si="10"/>
        <v>6</v>
      </c>
      <c r="B27" s="83" t="str">
        <f>[1]!ArticleCode(Art_01.06.)</f>
        <v>01.06.</v>
      </c>
      <c r="C27" s="84" t="str">
        <f>[1]!ArticleDescription(Art_01.06.)</f>
        <v>aannemingsmodaliteiten – verrekeningen</v>
      </c>
      <c r="D27" s="73" t="str">
        <f>[1]!ArticleMeasureType(Art_01.06.)</f>
        <v>PM</v>
      </c>
      <c r="E27" s="73" t="str">
        <f>[1]!ArticleMeasureUnit(Art_01.06.)</f>
        <v/>
      </c>
      <c r="F27" s="91" t="str">
        <f>[1]!ArticleQuantity(Art_01.06.)</f>
        <v/>
      </c>
      <c r="G27" s="73"/>
      <c r="H27" s="75"/>
      <c r="I27" s="75">
        <f t="shared" si="9"/>
        <v>0</v>
      </c>
      <c r="J27" s="76"/>
      <c r="K27" s="77"/>
      <c r="L27" s="78"/>
      <c r="M27" s="73"/>
      <c r="N27" s="79"/>
      <c r="O27" s="75">
        <f t="shared" si="0"/>
        <v>0</v>
      </c>
      <c r="P27" s="80" t="str">
        <f t="shared" si="1"/>
        <v/>
      </c>
      <c r="Q27" s="81" t="str">
        <f t="shared" si="2"/>
        <v/>
      </c>
      <c r="R27" s="78"/>
      <c r="S27" s="73"/>
      <c r="T27" s="79"/>
      <c r="U27" s="75">
        <f t="shared" si="3"/>
        <v>0</v>
      </c>
      <c r="V27" s="80" t="str">
        <f t="shared" si="4"/>
        <v/>
      </c>
      <c r="W27" s="81" t="str">
        <f t="shared" si="5"/>
        <v/>
      </c>
      <c r="X27" s="78"/>
      <c r="Y27" s="73"/>
      <c r="Z27" s="79"/>
      <c r="AA27" s="75">
        <f t="shared" si="6"/>
        <v>0</v>
      </c>
      <c r="AB27" s="80" t="str">
        <f t="shared" si="7"/>
        <v/>
      </c>
      <c r="AC27" s="81" t="str">
        <f t="shared" si="8"/>
        <v/>
      </c>
    </row>
    <row r="28" spans="1:29">
      <c r="A28" s="3">
        <f t="shared" si="10"/>
        <v>7</v>
      </c>
      <c r="B28" s="83" t="str">
        <f>[1]!ArticleCode(Art_01.08.)</f>
        <v>01.08.</v>
      </c>
      <c r="C28" s="84" t="str">
        <f>[1]!ArticleDescription(Art_01.08.)</f>
        <v>aannemingsmodaliteiten – materialenlijst</v>
      </c>
      <c r="D28" s="73" t="str">
        <f>[1]!ArticleMeasureType(Art_01.08.)</f>
        <v>PM</v>
      </c>
      <c r="E28" s="73" t="str">
        <f>[1]!ArticleMeasureUnit(Art_01.08.)</f>
        <v/>
      </c>
      <c r="F28" s="91" t="str">
        <f>[1]!ArticleQuantity(Art_01.08.)</f>
        <v/>
      </c>
      <c r="G28" s="73"/>
      <c r="H28" s="75"/>
      <c r="I28" s="75">
        <f t="shared" si="9"/>
        <v>0</v>
      </c>
      <c r="J28" s="76"/>
      <c r="K28" s="77"/>
      <c r="L28" s="78"/>
      <c r="M28" s="73"/>
      <c r="N28" s="79"/>
      <c r="O28" s="75">
        <f t="shared" si="0"/>
        <v>0</v>
      </c>
      <c r="P28" s="80" t="str">
        <f t="shared" si="1"/>
        <v/>
      </c>
      <c r="Q28" s="81" t="str">
        <f t="shared" si="2"/>
        <v/>
      </c>
      <c r="R28" s="78"/>
      <c r="S28" s="73"/>
      <c r="T28" s="79"/>
      <c r="U28" s="75">
        <f t="shared" si="3"/>
        <v>0</v>
      </c>
      <c r="V28" s="80" t="str">
        <f t="shared" si="4"/>
        <v/>
      </c>
      <c r="W28" s="81" t="str">
        <f t="shared" si="5"/>
        <v/>
      </c>
      <c r="X28" s="78"/>
      <c r="Y28" s="73"/>
      <c r="Z28" s="79"/>
      <c r="AA28" s="75">
        <f t="shared" si="6"/>
        <v>0</v>
      </c>
      <c r="AB28" s="80" t="str">
        <f t="shared" si="7"/>
        <v/>
      </c>
      <c r="AC28" s="81" t="str">
        <f t="shared" si="8"/>
        <v/>
      </c>
    </row>
    <row r="29" spans="1:29">
      <c r="A29" s="3"/>
      <c r="B29" s="83" t="str">
        <f>[1]!ArticleCode(Art_01.20.)</f>
        <v>01.20.</v>
      </c>
      <c r="C29" s="84" t="str">
        <f>[1]!ArticleDescription(Art_01.20.)</f>
        <v>werfcoördinatie – algemeen</v>
      </c>
      <c r="D29" s="73"/>
      <c r="E29" s="73"/>
      <c r="F29" s="73"/>
      <c r="G29" s="73"/>
      <c r="H29" s="75"/>
      <c r="I29" s="75"/>
      <c r="J29" s="76"/>
      <c r="K29" s="77"/>
      <c r="L29" s="78"/>
      <c r="M29" s="73"/>
      <c r="N29" s="79"/>
      <c r="O29" s="75">
        <f t="shared" si="0"/>
        <v>0</v>
      </c>
      <c r="P29" s="80" t="str">
        <f t="shared" si="1"/>
        <v/>
      </c>
      <c r="Q29" s="81" t="str">
        <f t="shared" si="2"/>
        <v/>
      </c>
      <c r="R29" s="78"/>
      <c r="S29" s="73"/>
      <c r="T29" s="79"/>
      <c r="U29" s="75">
        <f t="shared" si="3"/>
        <v>0</v>
      </c>
      <c r="V29" s="80" t="str">
        <f t="shared" si="4"/>
        <v/>
      </c>
      <c r="W29" s="81" t="str">
        <f t="shared" si="5"/>
        <v/>
      </c>
      <c r="X29" s="78"/>
      <c r="Y29" s="73"/>
      <c r="Z29" s="79"/>
      <c r="AA29" s="75">
        <f t="shared" si="6"/>
        <v>0</v>
      </c>
      <c r="AB29" s="80" t="str">
        <f t="shared" si="7"/>
        <v/>
      </c>
      <c r="AC29" s="81" t="str">
        <f t="shared" si="8"/>
        <v/>
      </c>
    </row>
    <row r="30" spans="1:29">
      <c r="A30" s="3">
        <f>A28+1</f>
        <v>8</v>
      </c>
      <c r="B30" s="83" t="str">
        <f>[1]!ArticleCode(Art_01.21.)</f>
        <v>01.21.</v>
      </c>
      <c r="C30" s="84" t="str">
        <f>[1]!ArticleDescription(Art_01.21.)</f>
        <v>werfcoördinatie – planning van de werken</v>
      </c>
      <c r="D30" s="73" t="str">
        <f>[1]!ArticleMeasureType(Art_01.21.)</f>
        <v>PM</v>
      </c>
      <c r="E30" s="73" t="str">
        <f>[1]!ArticleMeasureUnit(Art_01.21.)</f>
        <v/>
      </c>
      <c r="F30" s="91" t="str">
        <f>[1]!ArticleQuantity(Art_01.21.)</f>
        <v/>
      </c>
      <c r="G30" s="73"/>
      <c r="H30" s="75"/>
      <c r="I30" s="75">
        <f>IF(RIGHT($D30,1)="-","************",ROUND(IF(NOT(ISNUMBER(G30)),IF(NOT(ISNUMBER(F30)),1,F30),G30)*H30,2))</f>
        <v>0</v>
      </c>
      <c r="J30" s="76"/>
      <c r="K30" s="77"/>
      <c r="L30" s="78"/>
      <c r="M30" s="73"/>
      <c r="N30" s="79"/>
      <c r="O30" s="75">
        <f t="shared" si="0"/>
        <v>0</v>
      </c>
      <c r="P30" s="80" t="str">
        <f t="shared" si="1"/>
        <v/>
      </c>
      <c r="Q30" s="81" t="str">
        <f t="shared" si="2"/>
        <v/>
      </c>
      <c r="R30" s="78"/>
      <c r="S30" s="73"/>
      <c r="T30" s="79"/>
      <c r="U30" s="75">
        <f t="shared" si="3"/>
        <v>0</v>
      </c>
      <c r="V30" s="80" t="str">
        <f t="shared" si="4"/>
        <v/>
      </c>
      <c r="W30" s="81" t="str">
        <f t="shared" si="5"/>
        <v/>
      </c>
      <c r="X30" s="78"/>
      <c r="Y30" s="73"/>
      <c r="Z30" s="79"/>
      <c r="AA30" s="75">
        <f t="shared" si="6"/>
        <v>0</v>
      </c>
      <c r="AB30" s="80" t="str">
        <f t="shared" si="7"/>
        <v/>
      </c>
      <c r="AC30" s="81" t="str">
        <f t="shared" si="8"/>
        <v/>
      </c>
    </row>
    <row r="31" spans="1:29">
      <c r="A31" s="3">
        <f>A30+1</f>
        <v>9</v>
      </c>
      <c r="B31" s="83" t="str">
        <f>[1]!ArticleCode(Art_01.22.)</f>
        <v>01.22.</v>
      </c>
      <c r="C31" s="84" t="str">
        <f>[1]!ArticleDescription(Art_01.22.)</f>
        <v>werfcoördinatie – werfleiding en controle</v>
      </c>
      <c r="D31" s="73" t="str">
        <f>[1]!ArticleMeasureType(Art_01.22.)</f>
        <v>PM</v>
      </c>
      <c r="E31" s="73" t="str">
        <f>[1]!ArticleMeasureUnit(Art_01.22.)</f>
        <v/>
      </c>
      <c r="F31" s="91" t="str">
        <f>[1]!ArticleQuantity(Art_01.22.)</f>
        <v/>
      </c>
      <c r="G31" s="73"/>
      <c r="H31" s="75"/>
      <c r="I31" s="75">
        <f>IF(RIGHT($D31,1)="-","************",ROUND(IF(NOT(ISNUMBER(G31)),IF(NOT(ISNUMBER(F31)),1,F31),G31)*H31,2))</f>
        <v>0</v>
      </c>
      <c r="J31" s="76"/>
      <c r="K31" s="77"/>
      <c r="L31" s="78"/>
      <c r="M31" s="73"/>
      <c r="N31" s="79"/>
      <c r="O31" s="75">
        <f t="shared" si="0"/>
        <v>0</v>
      </c>
      <c r="P31" s="80" t="str">
        <f t="shared" si="1"/>
        <v/>
      </c>
      <c r="Q31" s="81" t="str">
        <f t="shared" si="2"/>
        <v/>
      </c>
      <c r="R31" s="78"/>
      <c r="S31" s="73"/>
      <c r="T31" s="79"/>
      <c r="U31" s="75">
        <f t="shared" si="3"/>
        <v>0</v>
      </c>
      <c r="V31" s="80" t="str">
        <f t="shared" si="4"/>
        <v/>
      </c>
      <c r="W31" s="81" t="str">
        <f t="shared" si="5"/>
        <v/>
      </c>
      <c r="X31" s="78"/>
      <c r="Y31" s="73"/>
      <c r="Z31" s="79"/>
      <c r="AA31" s="75">
        <f t="shared" si="6"/>
        <v>0</v>
      </c>
      <c r="AB31" s="80" t="str">
        <f t="shared" si="7"/>
        <v/>
      </c>
      <c r="AC31" s="81" t="str">
        <f t="shared" si="8"/>
        <v/>
      </c>
    </row>
    <row r="32" spans="1:29">
      <c r="A32" s="3">
        <f>A31+1</f>
        <v>10</v>
      </c>
      <c r="B32" s="83" t="str">
        <f>[1]!ArticleCode(Art_01.23.)</f>
        <v>01.23.</v>
      </c>
      <c r="C32" s="84" t="str">
        <f>[1]!ArticleDescription(Art_01.23.)</f>
        <v>werfcoördinatie – werfvergaderingen</v>
      </c>
      <c r="D32" s="73" t="str">
        <f>[1]!ArticleMeasureType(Art_01.23.)</f>
        <v>PM</v>
      </c>
      <c r="E32" s="73" t="str">
        <f>[1]!ArticleMeasureUnit(Art_01.23.)</f>
        <v/>
      </c>
      <c r="F32" s="91" t="str">
        <f>[1]!ArticleQuantity(Art_01.23.)</f>
        <v/>
      </c>
      <c r="G32" s="73"/>
      <c r="H32" s="75"/>
      <c r="I32" s="75">
        <f>IF(RIGHT($D32,1)="-","************",ROUND(IF(NOT(ISNUMBER(G32)),IF(NOT(ISNUMBER(F32)),1,F32),G32)*H32,2))</f>
        <v>0</v>
      </c>
      <c r="J32" s="76"/>
      <c r="K32" s="77"/>
      <c r="L32" s="78"/>
      <c r="M32" s="73"/>
      <c r="N32" s="79"/>
      <c r="O32" s="75">
        <f t="shared" si="0"/>
        <v>0</v>
      </c>
      <c r="P32" s="80" t="str">
        <f t="shared" si="1"/>
        <v/>
      </c>
      <c r="Q32" s="81" t="str">
        <f t="shared" si="2"/>
        <v/>
      </c>
      <c r="R32" s="78"/>
      <c r="S32" s="73"/>
      <c r="T32" s="79"/>
      <c r="U32" s="75">
        <f t="shared" si="3"/>
        <v>0</v>
      </c>
      <c r="V32" s="80" t="str">
        <f t="shared" si="4"/>
        <v/>
      </c>
      <c r="W32" s="81" t="str">
        <f t="shared" si="5"/>
        <v/>
      </c>
      <c r="X32" s="78"/>
      <c r="Y32" s="73"/>
      <c r="Z32" s="79"/>
      <c r="AA32" s="75">
        <f t="shared" si="6"/>
        <v>0</v>
      </c>
      <c r="AB32" s="80" t="str">
        <f t="shared" si="7"/>
        <v/>
      </c>
      <c r="AC32" s="81" t="str">
        <f t="shared" si="8"/>
        <v/>
      </c>
    </row>
    <row r="33" spans="1:29">
      <c r="A33" s="3">
        <f>A32+1</f>
        <v>11</v>
      </c>
      <c r="B33" s="83" t="str">
        <f>[1]!ArticleCode(Art_01.25.)</f>
        <v>01.25.</v>
      </c>
      <c r="C33" s="84" t="str">
        <f>[1]!ArticleDescription(Art_01.25.)</f>
        <v>werfcoördinatie – as-builtdossier</v>
      </c>
      <c r="D33" s="73" t="str">
        <f>[1]!ArticleMeasureType(Art_01.25.)</f>
        <v>PM</v>
      </c>
      <c r="E33" s="73" t="str">
        <f>[1]!ArticleMeasureUnit(Art_01.25.)</f>
        <v/>
      </c>
      <c r="F33" s="91" t="str">
        <f>[1]!ArticleQuantity(Art_01.25.)</f>
        <v/>
      </c>
      <c r="G33" s="73"/>
      <c r="H33" s="75"/>
      <c r="I33" s="75">
        <f>IF(RIGHT($D33,1)="-","************",ROUND(IF(NOT(ISNUMBER(G33)),IF(NOT(ISNUMBER(F33)),1,F33),G33)*H33,2))</f>
        <v>0</v>
      </c>
      <c r="J33" s="76"/>
      <c r="K33" s="77"/>
      <c r="L33" s="78"/>
      <c r="M33" s="73"/>
      <c r="N33" s="79"/>
      <c r="O33" s="75">
        <f t="shared" si="0"/>
        <v>0</v>
      </c>
      <c r="P33" s="80" t="str">
        <f t="shared" si="1"/>
        <v/>
      </c>
      <c r="Q33" s="81" t="str">
        <f t="shared" si="2"/>
        <v/>
      </c>
      <c r="R33" s="78"/>
      <c r="S33" s="73"/>
      <c r="T33" s="79"/>
      <c r="U33" s="75">
        <f t="shared" si="3"/>
        <v>0</v>
      </c>
      <c r="V33" s="80" t="str">
        <f t="shared" si="4"/>
        <v/>
      </c>
      <c r="W33" s="81" t="str">
        <f t="shared" si="5"/>
        <v/>
      </c>
      <c r="X33" s="78"/>
      <c r="Y33" s="73"/>
      <c r="Z33" s="79"/>
      <c r="AA33" s="75">
        <f t="shared" si="6"/>
        <v>0</v>
      </c>
      <c r="AB33" s="80" t="str">
        <f t="shared" si="7"/>
        <v/>
      </c>
      <c r="AC33" s="81" t="str">
        <f t="shared" si="8"/>
        <v/>
      </c>
    </row>
    <row r="34" spans="1:29">
      <c r="A34" s="3"/>
      <c r="B34" s="83" t="str">
        <f>[1]!ArticleCode(Art_01.30.)</f>
        <v>01.30.</v>
      </c>
      <c r="C34" s="84" t="str">
        <f>[1]!ArticleDescription(Art_01.30.)</f>
        <v>werfcondities – algemeen</v>
      </c>
      <c r="D34" s="73"/>
      <c r="E34" s="73"/>
      <c r="F34" s="73"/>
      <c r="G34" s="73"/>
      <c r="H34" s="75"/>
      <c r="I34" s="75"/>
      <c r="J34" s="76"/>
      <c r="K34" s="77"/>
      <c r="L34" s="78"/>
      <c r="M34" s="73"/>
      <c r="N34" s="79"/>
      <c r="O34" s="75">
        <f t="shared" si="0"/>
        <v>0</v>
      </c>
      <c r="P34" s="80" t="str">
        <f t="shared" si="1"/>
        <v/>
      </c>
      <c r="Q34" s="81" t="str">
        <f t="shared" si="2"/>
        <v/>
      </c>
      <c r="R34" s="78"/>
      <c r="S34" s="73"/>
      <c r="T34" s="79"/>
      <c r="U34" s="75">
        <f t="shared" si="3"/>
        <v>0</v>
      </c>
      <c r="V34" s="80" t="str">
        <f t="shared" si="4"/>
        <v/>
      </c>
      <c r="W34" s="81" t="str">
        <f t="shared" si="5"/>
        <v/>
      </c>
      <c r="X34" s="78"/>
      <c r="Y34" s="73"/>
      <c r="Z34" s="79"/>
      <c r="AA34" s="75">
        <f t="shared" si="6"/>
        <v>0</v>
      </c>
      <c r="AB34" s="80" t="str">
        <f t="shared" si="7"/>
        <v/>
      </c>
      <c r="AC34" s="81" t="str">
        <f t="shared" si="8"/>
        <v/>
      </c>
    </row>
    <row r="35" spans="1:29">
      <c r="A35" s="3">
        <f>A33+1</f>
        <v>12</v>
      </c>
      <c r="B35" s="83" t="str">
        <f>[1]!ArticleCode(Art_01.31.)</f>
        <v>01.31.</v>
      </c>
      <c r="C35" s="84" t="str">
        <f>[1]!ArticleDescription(Art_01.31.)</f>
        <v>werfcondities – orde en netheid</v>
      </c>
      <c r="D35" s="73" t="str">
        <f>[1]!ArticleMeasureType(Art_01.31.)</f>
        <v>PM</v>
      </c>
      <c r="E35" s="73" t="str">
        <f>[1]!ArticleMeasureUnit(Art_01.31.)</f>
        <v/>
      </c>
      <c r="F35" s="91" t="str">
        <f>[1]!ArticleQuantity(Art_01.31.)</f>
        <v/>
      </c>
      <c r="G35" s="73"/>
      <c r="H35" s="75"/>
      <c r="I35" s="75">
        <f>IF(RIGHT($D35,1)="-","************",ROUND(IF(NOT(ISNUMBER(G35)),IF(NOT(ISNUMBER(F35)),1,F35),G35)*H35,2))</f>
        <v>0</v>
      </c>
      <c r="J35" s="76"/>
      <c r="K35" s="77"/>
      <c r="L35" s="78"/>
      <c r="M35" s="73"/>
      <c r="N35" s="79"/>
      <c r="O35" s="75">
        <f t="shared" si="0"/>
        <v>0</v>
      </c>
      <c r="P35" s="80" t="str">
        <f t="shared" si="1"/>
        <v/>
      </c>
      <c r="Q35" s="81" t="str">
        <f t="shared" si="2"/>
        <v/>
      </c>
      <c r="R35" s="78"/>
      <c r="S35" s="73"/>
      <c r="T35" s="79"/>
      <c r="U35" s="75">
        <f t="shared" si="3"/>
        <v>0</v>
      </c>
      <c r="V35" s="80" t="str">
        <f t="shared" si="4"/>
        <v/>
      </c>
      <c r="W35" s="81" t="str">
        <f t="shared" si="5"/>
        <v/>
      </c>
      <c r="X35" s="78"/>
      <c r="Y35" s="73"/>
      <c r="Z35" s="79"/>
      <c r="AA35" s="75">
        <f t="shared" si="6"/>
        <v>0</v>
      </c>
      <c r="AB35" s="80" t="str">
        <f t="shared" si="7"/>
        <v/>
      </c>
      <c r="AC35" s="81" t="str">
        <f t="shared" si="8"/>
        <v/>
      </c>
    </row>
    <row r="36" spans="1:29">
      <c r="A36" s="3">
        <f>A35+1</f>
        <v>13</v>
      </c>
      <c r="B36" s="83" t="str">
        <f>[1]!ArticleCode(Art_01.32.)</f>
        <v>01.32.</v>
      </c>
      <c r="C36" s="84" t="str">
        <f>[1]!ArticleDescription(Art_01.32.)</f>
        <v>werfcondities – geluids- en stofhinder</v>
      </c>
      <c r="D36" s="73" t="str">
        <f>[1]!ArticleMeasureType(Art_01.32.)</f>
        <v>PM</v>
      </c>
      <c r="E36" s="73" t="str">
        <f>[1]!ArticleMeasureUnit(Art_01.32.)</f>
        <v/>
      </c>
      <c r="F36" s="91" t="str">
        <f>[1]!ArticleQuantity(Art_01.32.)</f>
        <v/>
      </c>
      <c r="G36" s="73"/>
      <c r="H36" s="75"/>
      <c r="I36" s="75">
        <f>IF(RIGHT($D36,1)="-","************",ROUND(IF(NOT(ISNUMBER(G36)),IF(NOT(ISNUMBER(F36)),1,F36),G36)*H36,2))</f>
        <v>0</v>
      </c>
      <c r="J36" s="76"/>
      <c r="K36" s="77"/>
      <c r="L36" s="78"/>
      <c r="M36" s="73"/>
      <c r="N36" s="79"/>
      <c r="O36" s="75">
        <f t="shared" si="0"/>
        <v>0</v>
      </c>
      <c r="P36" s="80" t="str">
        <f t="shared" si="1"/>
        <v/>
      </c>
      <c r="Q36" s="81" t="str">
        <f t="shared" si="2"/>
        <v/>
      </c>
      <c r="R36" s="78"/>
      <c r="S36" s="73"/>
      <c r="T36" s="79"/>
      <c r="U36" s="75">
        <f t="shared" si="3"/>
        <v>0</v>
      </c>
      <c r="V36" s="80" t="str">
        <f t="shared" si="4"/>
        <v/>
      </c>
      <c r="W36" s="81" t="str">
        <f t="shared" si="5"/>
        <v/>
      </c>
      <c r="X36" s="78"/>
      <c r="Y36" s="73"/>
      <c r="Z36" s="79"/>
      <c r="AA36" s="75">
        <f t="shared" si="6"/>
        <v>0</v>
      </c>
      <c r="AB36" s="80" t="str">
        <f t="shared" si="7"/>
        <v/>
      </c>
      <c r="AC36" s="81" t="str">
        <f t="shared" si="8"/>
        <v/>
      </c>
    </row>
    <row r="37" spans="1:29">
      <c r="A37" s="3">
        <f>A36+1</f>
        <v>14</v>
      </c>
      <c r="B37" s="83" t="str">
        <f>[1]!ArticleCode(Art_01.33.)</f>
        <v>01.33.</v>
      </c>
      <c r="C37" s="84" t="str">
        <f>[1]!ArticleDescription(Art_01.33.)</f>
        <v>werfcondities – nazorg</v>
      </c>
      <c r="D37" s="73" t="str">
        <f>[1]!ArticleMeasureType(Art_01.33.)</f>
        <v>PM</v>
      </c>
      <c r="E37" s="73" t="str">
        <f>[1]!ArticleMeasureUnit(Art_01.33.)</f>
        <v/>
      </c>
      <c r="F37" s="91" t="str">
        <f>[1]!ArticleQuantity(Art_01.33.)</f>
        <v/>
      </c>
      <c r="G37" s="73"/>
      <c r="H37" s="75"/>
      <c r="I37" s="75">
        <f>IF(RIGHT($D37,1)="-","************",ROUND(IF(NOT(ISNUMBER(G37)),IF(NOT(ISNUMBER(F37)),1,F37),G37)*H37,2))</f>
        <v>0</v>
      </c>
      <c r="J37" s="76"/>
      <c r="K37" s="77"/>
      <c r="L37" s="78"/>
      <c r="M37" s="73"/>
      <c r="N37" s="79"/>
      <c r="O37" s="75">
        <f t="shared" si="0"/>
        <v>0</v>
      </c>
      <c r="P37" s="80" t="str">
        <f t="shared" si="1"/>
        <v/>
      </c>
      <c r="Q37" s="81" t="str">
        <f t="shared" si="2"/>
        <v/>
      </c>
      <c r="R37" s="78"/>
      <c r="S37" s="73"/>
      <c r="T37" s="79"/>
      <c r="U37" s="75">
        <f t="shared" si="3"/>
        <v>0</v>
      </c>
      <c r="V37" s="80" t="str">
        <f t="shared" si="4"/>
        <v/>
      </c>
      <c r="W37" s="81" t="str">
        <f t="shared" si="5"/>
        <v/>
      </c>
      <c r="X37" s="78"/>
      <c r="Y37" s="73"/>
      <c r="Z37" s="79"/>
      <c r="AA37" s="75">
        <f t="shared" si="6"/>
        <v>0</v>
      </c>
      <c r="AB37" s="80" t="str">
        <f t="shared" si="7"/>
        <v/>
      </c>
      <c r="AC37" s="81" t="str">
        <f t="shared" si="8"/>
        <v/>
      </c>
    </row>
    <row r="38" spans="1:29">
      <c r="A38" s="3">
        <f>A37+1</f>
        <v>15</v>
      </c>
      <c r="B38" s="83" t="str">
        <f>[1]!ArticleCode(Art_01.40.)</f>
        <v>01.40.</v>
      </c>
      <c r="C38" s="84" t="str">
        <f>[1]!ArticleDescription(Art_01.40.)</f>
        <v>veiligheidsvoorschriften – algemeen</v>
      </c>
      <c r="D38" s="73" t="str">
        <f>[1]!ArticleMeasureType(Art_01.40.)</f>
        <v>SOG</v>
      </c>
      <c r="E38" s="73" t="str">
        <f>[1]!ArticleMeasureUnit(Art_01.40.)</f>
        <v/>
      </c>
      <c r="F38" s="91" t="str">
        <f>[1]!ArticleQuantity(Art_01.40.)</f>
        <v/>
      </c>
      <c r="G38" s="73"/>
      <c r="H38" s="75"/>
      <c r="I38" s="75">
        <f>IF(RIGHT($D38,1)="-","************",ROUND(IF(NOT(ISNUMBER(G38)),IF(NOT(ISNUMBER(F38)),1,F38),G38)*H38,2))</f>
        <v>0</v>
      </c>
      <c r="J38" s="76"/>
      <c r="K38" s="77"/>
      <c r="L38" s="78"/>
      <c r="M38" s="73"/>
      <c r="N38" s="79"/>
      <c r="O38" s="75">
        <f t="shared" si="0"/>
        <v>0</v>
      </c>
      <c r="P38" s="80" t="str">
        <f t="shared" si="1"/>
        <v/>
      </c>
      <c r="Q38" s="81" t="str">
        <f t="shared" si="2"/>
        <v/>
      </c>
      <c r="R38" s="78"/>
      <c r="S38" s="73"/>
      <c r="T38" s="79"/>
      <c r="U38" s="75">
        <f t="shared" si="3"/>
        <v>0</v>
      </c>
      <c r="V38" s="80" t="str">
        <f t="shared" si="4"/>
        <v/>
      </c>
      <c r="W38" s="81" t="str">
        <f t="shared" si="5"/>
        <v/>
      </c>
      <c r="X38" s="78"/>
      <c r="Y38" s="73"/>
      <c r="Z38" s="79"/>
      <c r="AA38" s="75">
        <f t="shared" si="6"/>
        <v>0</v>
      </c>
      <c r="AB38" s="80" t="str">
        <f t="shared" si="7"/>
        <v/>
      </c>
      <c r="AC38" s="81" t="str">
        <f t="shared" si="8"/>
        <v/>
      </c>
    </row>
    <row r="39" spans="1:29">
      <c r="A39" s="3"/>
      <c r="B39" s="85"/>
      <c r="C39" s="86"/>
      <c r="D39" s="87"/>
      <c r="E39" s="86"/>
      <c r="F39" s="86"/>
      <c r="G39" s="86"/>
      <c r="H39" s="88"/>
      <c r="I39" s="88"/>
      <c r="J39" s="89">
        <f>SUBTOTAL(9,I20:I38)</f>
        <v>0</v>
      </c>
      <c r="K39" s="77"/>
      <c r="L39" s="78"/>
      <c r="M39" s="73"/>
      <c r="N39" s="79"/>
      <c r="O39" s="75">
        <f t="shared" si="0"/>
        <v>0</v>
      </c>
      <c r="P39" s="80" t="str">
        <f t="shared" si="1"/>
        <v/>
      </c>
      <c r="Q39" s="81" t="str">
        <f t="shared" si="2"/>
        <v/>
      </c>
      <c r="R39" s="78"/>
      <c r="S39" s="73"/>
      <c r="T39" s="79"/>
      <c r="U39" s="75">
        <f t="shared" si="3"/>
        <v>0</v>
      </c>
      <c r="V39" s="80" t="str">
        <f t="shared" si="4"/>
        <v/>
      </c>
      <c r="W39" s="81" t="str">
        <f t="shared" si="5"/>
        <v/>
      </c>
      <c r="X39" s="78"/>
      <c r="Y39" s="73"/>
      <c r="Z39" s="79"/>
      <c r="AA39" s="75">
        <f t="shared" si="6"/>
        <v>0</v>
      </c>
      <c r="AB39" s="80" t="str">
        <f t="shared" si="7"/>
        <v/>
      </c>
      <c r="AC39" s="81" t="str">
        <f t="shared" si="8"/>
        <v/>
      </c>
    </row>
    <row r="40" spans="1:29">
      <c r="A40" s="3"/>
      <c r="B40" s="90"/>
      <c r="C40" s="73"/>
      <c r="D40" s="73"/>
      <c r="E40" s="73"/>
      <c r="F40" s="73"/>
      <c r="G40" s="73"/>
      <c r="H40" s="75"/>
      <c r="I40" s="75"/>
      <c r="J40" s="76"/>
      <c r="K40" s="77"/>
      <c r="L40" s="78"/>
      <c r="M40" s="73"/>
      <c r="N40" s="79"/>
      <c r="O40" s="75">
        <f t="shared" si="0"/>
        <v>0</v>
      </c>
      <c r="P40" s="80" t="str">
        <f t="shared" si="1"/>
        <v/>
      </c>
      <c r="Q40" s="81" t="str">
        <f t="shared" si="2"/>
        <v/>
      </c>
      <c r="R40" s="78"/>
      <c r="S40" s="73"/>
      <c r="T40" s="79"/>
      <c r="U40" s="75">
        <f t="shared" si="3"/>
        <v>0</v>
      </c>
      <c r="V40" s="80" t="str">
        <f t="shared" si="4"/>
        <v/>
      </c>
      <c r="W40" s="81" t="str">
        <f t="shared" si="5"/>
        <v/>
      </c>
      <c r="X40" s="78"/>
      <c r="Y40" s="73"/>
      <c r="Z40" s="79"/>
      <c r="AA40" s="75">
        <f t="shared" si="6"/>
        <v>0</v>
      </c>
      <c r="AB40" s="80" t="str">
        <f t="shared" si="7"/>
        <v/>
      </c>
      <c r="AC40" s="81" t="str">
        <f t="shared" si="8"/>
        <v/>
      </c>
    </row>
    <row r="41" spans="1:29">
      <c r="A41" s="3"/>
      <c r="B41" s="72" t="s">
        <v>323</v>
      </c>
      <c r="C41" s="73"/>
      <c r="D41" s="74"/>
      <c r="E41" s="73"/>
      <c r="F41" s="73"/>
      <c r="G41" s="73"/>
      <c r="H41" s="75"/>
      <c r="I41" s="75"/>
      <c r="J41" s="76"/>
      <c r="K41" s="77"/>
      <c r="L41" s="78"/>
      <c r="M41" s="73"/>
      <c r="N41" s="79"/>
      <c r="O41" s="75">
        <f t="shared" si="0"/>
        <v>0</v>
      </c>
      <c r="P41" s="80" t="str">
        <f t="shared" si="1"/>
        <v/>
      </c>
      <c r="Q41" s="81" t="str">
        <f t="shared" si="2"/>
        <v/>
      </c>
      <c r="R41" s="78"/>
      <c r="S41" s="73"/>
      <c r="T41" s="79"/>
      <c r="U41" s="75">
        <f t="shared" si="3"/>
        <v>0</v>
      </c>
      <c r="V41" s="80" t="str">
        <f t="shared" si="4"/>
        <v/>
      </c>
      <c r="W41" s="81" t="str">
        <f t="shared" si="5"/>
        <v/>
      </c>
      <c r="X41" s="78"/>
      <c r="Y41" s="73"/>
      <c r="Z41" s="79"/>
      <c r="AA41" s="75">
        <f t="shared" si="6"/>
        <v>0</v>
      </c>
      <c r="AB41" s="80" t="str">
        <f t="shared" si="7"/>
        <v/>
      </c>
      <c r="AC41" s="81" t="str">
        <f t="shared" si="8"/>
        <v/>
      </c>
    </row>
    <row r="42" spans="1:29">
      <c r="A42" s="3"/>
      <c r="B42" s="83" t="str">
        <f>[1]!ArticleCode(Art_02.)</f>
        <v>02.</v>
      </c>
      <c r="C42" s="84" t="str">
        <f>[1]!ArticleDescription(Art_02.)</f>
        <v>BOUWPLAATSVOORZIENINGEN</v>
      </c>
      <c r="D42" s="73"/>
      <c r="E42" s="73"/>
      <c r="F42" s="73"/>
      <c r="G42" s="73"/>
      <c r="H42" s="75"/>
      <c r="I42" s="75"/>
      <c r="J42" s="76"/>
      <c r="K42" s="77"/>
      <c r="L42" s="78"/>
      <c r="M42" s="73"/>
      <c r="N42" s="79"/>
      <c r="O42" s="75">
        <f t="shared" ref="O42:O73" si="11">IF(MID($D42,3,1)="-","*********",ROUND(IF(NOT(ISNUMBER($G42)),IF(NOT(ISNUMBER($F42)),1,$F42),$G42)*(IF(NOT(ISNUMBER(N42)),L42,N42)),2))</f>
        <v>0</v>
      </c>
      <c r="P42" s="80" t="str">
        <f t="shared" ref="P42:P73" si="12">IF(O$187=0,"",O42/O$187)</f>
        <v/>
      </c>
      <c r="Q42" s="81" t="str">
        <f t="shared" ref="Q42:Q73" si="13">IF($K42=0,"",IF(NOT(ISNUMBER(N42)),L42,N42)/$K42-1)</f>
        <v/>
      </c>
      <c r="R42" s="78"/>
      <c r="S42" s="73"/>
      <c r="T42" s="79"/>
      <c r="U42" s="75">
        <f t="shared" ref="U42:U73" si="14">IF(MID($D42,3,1)="-","*********",ROUND(IF(NOT(ISNUMBER($G42)),IF(NOT(ISNUMBER($F42)),1,$F42),$G42)*(IF(NOT(ISNUMBER(T42)),R42,T42)),2))</f>
        <v>0</v>
      </c>
      <c r="V42" s="80" t="str">
        <f t="shared" ref="V42:V73" si="15">IF(U$187=0,"",U42/U$187)</f>
        <v/>
      </c>
      <c r="W42" s="81" t="str">
        <f t="shared" ref="W42:W73" si="16">IF($K42=0,"",IF(NOT(ISNUMBER(T42)),R42,T42)/$K42-1)</f>
        <v/>
      </c>
      <c r="X42" s="78"/>
      <c r="Y42" s="73"/>
      <c r="Z42" s="79"/>
      <c r="AA42" s="75">
        <f t="shared" ref="AA42:AA73" si="17">IF(MID($D42,3,1)="-","*********",ROUND(IF(NOT(ISNUMBER($G42)),IF(NOT(ISNUMBER($F42)),1,$F42),$G42)*(IF(NOT(ISNUMBER(Z42)),X42,Z42)),2))</f>
        <v>0</v>
      </c>
      <c r="AB42" s="80" t="str">
        <f t="shared" ref="AB42:AB73" si="18">IF(AA$187=0,"",AA42/AA$187)</f>
        <v/>
      </c>
      <c r="AC42" s="81" t="str">
        <f t="shared" ref="AC42:AC73" si="19">IF($K42=0,"",IF(NOT(ISNUMBER(Z42)),X42,Z42)/$K42-1)</f>
        <v/>
      </c>
    </row>
    <row r="43" spans="1:29">
      <c r="A43" s="3"/>
      <c r="B43" s="83" t="str">
        <f>[1]!ArticleCode(Art_02.00.)</f>
        <v>02.00.</v>
      </c>
      <c r="C43" s="84" t="str">
        <f>[1]!ArticleDescription(Art_02.00.)</f>
        <v>bouwplaatsvoorzieningen - algemeen</v>
      </c>
      <c r="D43" s="73"/>
      <c r="E43" s="73"/>
      <c r="F43" s="73"/>
      <c r="G43" s="73"/>
      <c r="H43" s="75"/>
      <c r="I43" s="75"/>
      <c r="J43" s="76"/>
      <c r="K43" s="77"/>
      <c r="L43" s="78"/>
      <c r="M43" s="73"/>
      <c r="N43" s="79"/>
      <c r="O43" s="75">
        <f t="shared" si="11"/>
        <v>0</v>
      </c>
      <c r="P43" s="80" t="str">
        <f t="shared" si="12"/>
        <v/>
      </c>
      <c r="Q43" s="81" t="str">
        <f t="shared" si="13"/>
        <v/>
      </c>
      <c r="R43" s="78"/>
      <c r="S43" s="73"/>
      <c r="T43" s="79"/>
      <c r="U43" s="75">
        <f t="shared" si="14"/>
        <v>0</v>
      </c>
      <c r="V43" s="80" t="str">
        <f t="shared" si="15"/>
        <v/>
      </c>
      <c r="W43" s="81" t="str">
        <f t="shared" si="16"/>
        <v/>
      </c>
      <c r="X43" s="78"/>
      <c r="Y43" s="73"/>
      <c r="Z43" s="79"/>
      <c r="AA43" s="75">
        <f t="shared" si="17"/>
        <v>0</v>
      </c>
      <c r="AB43" s="80" t="str">
        <f t="shared" si="18"/>
        <v/>
      </c>
      <c r="AC43" s="81" t="str">
        <f t="shared" si="19"/>
        <v/>
      </c>
    </row>
    <row r="44" spans="1:29">
      <c r="A44" s="3"/>
      <c r="B44" s="83" t="str">
        <f>[1]!ArticleCode(Art_02.10.)</f>
        <v>02.10.</v>
      </c>
      <c r="C44" s="84" t="str">
        <f>[1]!ArticleDescription(Art_02.10.)</f>
        <v>beschermingswerken – algemeen</v>
      </c>
      <c r="D44" s="73"/>
      <c r="E44" s="73"/>
      <c r="F44" s="73"/>
      <c r="G44" s="73"/>
      <c r="H44" s="75"/>
      <c r="I44" s="75"/>
      <c r="J44" s="76"/>
      <c r="K44" s="77"/>
      <c r="L44" s="78"/>
      <c r="M44" s="73"/>
      <c r="N44" s="79"/>
      <c r="O44" s="75">
        <f t="shared" si="11"/>
        <v>0</v>
      </c>
      <c r="P44" s="80" t="str">
        <f t="shared" si="12"/>
        <v/>
      </c>
      <c r="Q44" s="81" t="str">
        <f t="shared" si="13"/>
        <v/>
      </c>
      <c r="R44" s="78"/>
      <c r="S44" s="73"/>
      <c r="T44" s="79"/>
      <c r="U44" s="75">
        <f t="shared" si="14"/>
        <v>0</v>
      </c>
      <c r="V44" s="80" t="str">
        <f t="shared" si="15"/>
        <v/>
      </c>
      <c r="W44" s="81" t="str">
        <f t="shared" si="16"/>
        <v/>
      </c>
      <c r="X44" s="78"/>
      <c r="Y44" s="73"/>
      <c r="Z44" s="79"/>
      <c r="AA44" s="75">
        <f t="shared" si="17"/>
        <v>0</v>
      </c>
      <c r="AB44" s="80" t="str">
        <f t="shared" si="18"/>
        <v/>
      </c>
      <c r="AC44" s="81" t="str">
        <f t="shared" si="19"/>
        <v/>
      </c>
    </row>
    <row r="45" spans="1:29">
      <c r="A45" s="3">
        <f>A38+1</f>
        <v>16</v>
      </c>
      <c r="B45" s="83" t="str">
        <f>[1]!ArticleCode(Art_02.11.)</f>
        <v>02.11.</v>
      </c>
      <c r="C45" s="84" t="str">
        <f>[1]!ArticleDescription(Art_02.11.)</f>
        <v>beschermingwerken – openbare weg</v>
      </c>
      <c r="D45" s="73" t="str">
        <f>[1]!ArticleMeasureType(Art_02.11.)</f>
        <v>PM</v>
      </c>
      <c r="E45" s="73" t="str">
        <f>[1]!ArticleMeasureUnit(Art_02.11.)</f>
        <v/>
      </c>
      <c r="F45" s="91" t="str">
        <f>[1]!ArticleQuantity(Art_02.11.)</f>
        <v/>
      </c>
      <c r="G45" s="73"/>
      <c r="H45" s="75"/>
      <c r="I45" s="75">
        <f>IF(RIGHT($D45,1)="-","************",ROUND(IF(NOT(ISNUMBER(G45)),IF(NOT(ISNUMBER(F45)),1,F45),G45)*H45,2))</f>
        <v>0</v>
      </c>
      <c r="J45" s="76"/>
      <c r="K45" s="77"/>
      <c r="L45" s="78"/>
      <c r="M45" s="73"/>
      <c r="N45" s="79"/>
      <c r="O45" s="75">
        <f t="shared" si="11"/>
        <v>0</v>
      </c>
      <c r="P45" s="80" t="str">
        <f t="shared" si="12"/>
        <v/>
      </c>
      <c r="Q45" s="81" t="str">
        <f t="shared" si="13"/>
        <v/>
      </c>
      <c r="R45" s="78"/>
      <c r="S45" s="73"/>
      <c r="T45" s="79"/>
      <c r="U45" s="75">
        <f t="shared" si="14"/>
        <v>0</v>
      </c>
      <c r="V45" s="80" t="str">
        <f t="shared" si="15"/>
        <v/>
      </c>
      <c r="W45" s="81" t="str">
        <f t="shared" si="16"/>
        <v/>
      </c>
      <c r="X45" s="78"/>
      <c r="Y45" s="73"/>
      <c r="Z45" s="79"/>
      <c r="AA45" s="75">
        <f t="shared" si="17"/>
        <v>0</v>
      </c>
      <c r="AB45" s="80" t="str">
        <f t="shared" si="18"/>
        <v/>
      </c>
      <c r="AC45" s="81" t="str">
        <f t="shared" si="19"/>
        <v/>
      </c>
    </row>
    <row r="46" spans="1:29">
      <c r="A46" s="3"/>
      <c r="B46" s="83" t="str">
        <f>[1]!ArticleCode(Art_02.80.)</f>
        <v>02.80.</v>
      </c>
      <c r="C46" s="84" t="str">
        <f>[1]!ArticleDescription(Art_02.80.)</f>
        <v>arbeidsmiddelen – algemeen</v>
      </c>
      <c r="D46" s="73"/>
      <c r="E46" s="73"/>
      <c r="F46" s="73"/>
      <c r="G46" s="73"/>
      <c r="H46" s="75"/>
      <c r="I46" s="75"/>
      <c r="J46" s="76"/>
      <c r="K46" s="77"/>
      <c r="L46" s="78"/>
      <c r="M46" s="73"/>
      <c r="N46" s="79"/>
      <c r="O46" s="75">
        <f t="shared" si="11"/>
        <v>0</v>
      </c>
      <c r="P46" s="80" t="str">
        <f t="shared" si="12"/>
        <v/>
      </c>
      <c r="Q46" s="81" t="str">
        <f t="shared" si="13"/>
        <v/>
      </c>
      <c r="R46" s="78"/>
      <c r="S46" s="73"/>
      <c r="T46" s="79"/>
      <c r="U46" s="75">
        <f t="shared" si="14"/>
        <v>0</v>
      </c>
      <c r="V46" s="80" t="str">
        <f t="shared" si="15"/>
        <v/>
      </c>
      <c r="W46" s="81" t="str">
        <f t="shared" si="16"/>
        <v/>
      </c>
      <c r="X46" s="78"/>
      <c r="Y46" s="73"/>
      <c r="Z46" s="79"/>
      <c r="AA46" s="75">
        <f t="shared" si="17"/>
        <v>0</v>
      </c>
      <c r="AB46" s="80" t="str">
        <f t="shared" si="18"/>
        <v/>
      </c>
      <c r="AC46" s="81" t="str">
        <f t="shared" si="19"/>
        <v/>
      </c>
    </row>
    <row r="47" spans="1:29">
      <c r="A47" s="3"/>
      <c r="B47" s="83" t="str">
        <f>[1]!ArticleCode(Art_02.81.)</f>
        <v>02.81.</v>
      </c>
      <c r="C47" s="84" t="str">
        <f>[1]!ArticleDescription(Art_02.81.)</f>
        <v>arbeidsmiddelen – werken op hoogte</v>
      </c>
      <c r="D47" s="73"/>
      <c r="E47" s="73"/>
      <c r="F47" s="73"/>
      <c r="G47" s="73"/>
      <c r="H47" s="75"/>
      <c r="I47" s="75"/>
      <c r="J47" s="76"/>
      <c r="K47" s="77"/>
      <c r="L47" s="78"/>
      <c r="M47" s="73"/>
      <c r="N47" s="79"/>
      <c r="O47" s="75">
        <f t="shared" si="11"/>
        <v>0</v>
      </c>
      <c r="P47" s="80" t="str">
        <f t="shared" si="12"/>
        <v/>
      </c>
      <c r="Q47" s="81" t="str">
        <f t="shared" si="13"/>
        <v/>
      </c>
      <c r="R47" s="78"/>
      <c r="S47" s="73"/>
      <c r="T47" s="79"/>
      <c r="U47" s="75">
        <f t="shared" si="14"/>
        <v>0</v>
      </c>
      <c r="V47" s="80" t="str">
        <f t="shared" si="15"/>
        <v/>
      </c>
      <c r="W47" s="81" t="str">
        <f t="shared" si="16"/>
        <v/>
      </c>
      <c r="X47" s="78"/>
      <c r="Y47" s="73"/>
      <c r="Z47" s="79"/>
      <c r="AA47" s="75">
        <f t="shared" si="17"/>
        <v>0</v>
      </c>
      <c r="AB47" s="80" t="str">
        <f t="shared" si="18"/>
        <v/>
      </c>
      <c r="AC47" s="81" t="str">
        <f t="shared" si="19"/>
        <v/>
      </c>
    </row>
    <row r="48" spans="1:29">
      <c r="A48" s="3">
        <f>A45+1</f>
        <v>17</v>
      </c>
      <c r="B48" s="83" t="str">
        <f>[1]!ArticleCode(Art_02.81.10.)</f>
        <v>02.81.10.</v>
      </c>
      <c r="C48" s="84" t="str">
        <f>[1]!ArticleDescription(Art_02.81.10.)</f>
        <v>arbeidsmiddelen – werken op hoogte/ladders</v>
      </c>
      <c r="D48" s="73" t="str">
        <f>[1]!ArticleMeasureType(Art_02.81.10.)</f>
        <v>PM</v>
      </c>
      <c r="E48" s="73" t="str">
        <f>[1]!ArticleMeasureUnit(Art_02.81.10.)</f>
        <v/>
      </c>
      <c r="F48" s="91" t="str">
        <f>[1]!ArticleQuantity(Art_02.81.10.)</f>
        <v/>
      </c>
      <c r="G48" s="73"/>
      <c r="H48" s="75"/>
      <c r="I48" s="75">
        <f>IF(RIGHT($D48,1)="-","************",ROUND(IF(NOT(ISNUMBER(G48)),IF(NOT(ISNUMBER(F48)),1,F48),G48)*H48,2))</f>
        <v>0</v>
      </c>
      <c r="J48" s="76"/>
      <c r="K48" s="77"/>
      <c r="L48" s="78"/>
      <c r="M48" s="73"/>
      <c r="N48" s="79"/>
      <c r="O48" s="75">
        <f t="shared" si="11"/>
        <v>0</v>
      </c>
      <c r="P48" s="80" t="str">
        <f t="shared" si="12"/>
        <v/>
      </c>
      <c r="Q48" s="81" t="str">
        <f t="shared" si="13"/>
        <v/>
      </c>
      <c r="R48" s="78"/>
      <c r="S48" s="73"/>
      <c r="T48" s="79"/>
      <c r="U48" s="75">
        <f t="shared" si="14"/>
        <v>0</v>
      </c>
      <c r="V48" s="80" t="str">
        <f t="shared" si="15"/>
        <v/>
      </c>
      <c r="W48" s="81" t="str">
        <f t="shared" si="16"/>
        <v/>
      </c>
      <c r="X48" s="78"/>
      <c r="Y48" s="73"/>
      <c r="Z48" s="79"/>
      <c r="AA48" s="75">
        <f t="shared" si="17"/>
        <v>0</v>
      </c>
      <c r="AB48" s="80" t="str">
        <f t="shared" si="18"/>
        <v/>
      </c>
      <c r="AC48" s="81" t="str">
        <f t="shared" si="19"/>
        <v/>
      </c>
    </row>
    <row r="49" spans="1:29">
      <c r="A49" s="3">
        <f>A48+1</f>
        <v>18</v>
      </c>
      <c r="B49" s="83" t="str">
        <f>[1]!ArticleCode(Art_02.82.)</f>
        <v>02.82.</v>
      </c>
      <c r="C49" s="84" t="str">
        <f>[1]!ArticleDescription(Art_02.82.)</f>
        <v>arbeidsmiddelen – hijsen en heffen van lasten</v>
      </c>
      <c r="D49" s="73" t="str">
        <f>[1]!ArticleMeasureType(Art_02.82.)</f>
        <v>PM</v>
      </c>
      <c r="E49" s="73" t="str">
        <f>[1]!ArticleMeasureUnit(Art_02.82.)</f>
        <v/>
      </c>
      <c r="F49" s="91" t="str">
        <f>[1]!ArticleQuantity(Art_02.82.)</f>
        <v/>
      </c>
      <c r="G49" s="73"/>
      <c r="H49" s="75"/>
      <c r="I49" s="75">
        <f>IF(RIGHT($D49,1)="-","************",ROUND(IF(NOT(ISNUMBER(G49)),IF(NOT(ISNUMBER(F49)),1,F49),G49)*H49,2))</f>
        <v>0</v>
      </c>
      <c r="J49" s="76"/>
      <c r="K49" s="77"/>
      <c r="L49" s="78"/>
      <c r="M49" s="73"/>
      <c r="N49" s="79"/>
      <c r="O49" s="75">
        <f t="shared" si="11"/>
        <v>0</v>
      </c>
      <c r="P49" s="80" t="str">
        <f t="shared" si="12"/>
        <v/>
      </c>
      <c r="Q49" s="81" t="str">
        <f t="shared" si="13"/>
        <v/>
      </c>
      <c r="R49" s="78"/>
      <c r="S49" s="73"/>
      <c r="T49" s="79"/>
      <c r="U49" s="75">
        <f t="shared" si="14"/>
        <v>0</v>
      </c>
      <c r="V49" s="80" t="str">
        <f t="shared" si="15"/>
        <v/>
      </c>
      <c r="W49" s="81" t="str">
        <f t="shared" si="16"/>
        <v/>
      </c>
      <c r="X49" s="78"/>
      <c r="Y49" s="73"/>
      <c r="Z49" s="79"/>
      <c r="AA49" s="75">
        <f t="shared" si="17"/>
        <v>0</v>
      </c>
      <c r="AB49" s="80" t="str">
        <f t="shared" si="18"/>
        <v/>
      </c>
      <c r="AC49" s="81" t="str">
        <f t="shared" si="19"/>
        <v/>
      </c>
    </row>
    <row r="50" spans="1:29">
      <c r="A50" s="3"/>
      <c r="B50" s="85"/>
      <c r="C50" s="86"/>
      <c r="D50" s="87"/>
      <c r="E50" s="86"/>
      <c r="F50" s="86"/>
      <c r="G50" s="86"/>
      <c r="H50" s="88"/>
      <c r="I50" s="88"/>
      <c r="J50" s="89">
        <f>SUBTOTAL(9,I42:I49)</f>
        <v>0</v>
      </c>
      <c r="K50" s="77"/>
      <c r="L50" s="78"/>
      <c r="M50" s="73"/>
      <c r="N50" s="79"/>
      <c r="O50" s="75">
        <f t="shared" si="11"/>
        <v>0</v>
      </c>
      <c r="P50" s="80" t="str">
        <f t="shared" si="12"/>
        <v/>
      </c>
      <c r="Q50" s="81" t="str">
        <f t="shared" si="13"/>
        <v/>
      </c>
      <c r="R50" s="78"/>
      <c r="S50" s="73"/>
      <c r="T50" s="79"/>
      <c r="U50" s="75">
        <f t="shared" si="14"/>
        <v>0</v>
      </c>
      <c r="V50" s="80" t="str">
        <f t="shared" si="15"/>
        <v/>
      </c>
      <c r="W50" s="81" t="str">
        <f t="shared" si="16"/>
        <v/>
      </c>
      <c r="X50" s="78"/>
      <c r="Y50" s="73"/>
      <c r="Z50" s="79"/>
      <c r="AA50" s="75">
        <f t="shared" si="17"/>
        <v>0</v>
      </c>
      <c r="AB50" s="80" t="str">
        <f t="shared" si="18"/>
        <v/>
      </c>
      <c r="AC50" s="81" t="str">
        <f t="shared" si="19"/>
        <v/>
      </c>
    </row>
    <row r="51" spans="1:29">
      <c r="A51" s="3"/>
      <c r="B51" s="90"/>
      <c r="C51" s="73"/>
      <c r="D51" s="73"/>
      <c r="E51" s="73"/>
      <c r="F51" s="73"/>
      <c r="G51" s="73"/>
      <c r="H51" s="75"/>
      <c r="I51" s="75"/>
      <c r="J51" s="76"/>
      <c r="K51" s="77"/>
      <c r="L51" s="78"/>
      <c r="M51" s="73"/>
      <c r="N51" s="79"/>
      <c r="O51" s="75">
        <f t="shared" si="11"/>
        <v>0</v>
      </c>
      <c r="P51" s="80" t="str">
        <f t="shared" si="12"/>
        <v/>
      </c>
      <c r="Q51" s="81" t="str">
        <f t="shared" si="13"/>
        <v/>
      </c>
      <c r="R51" s="78"/>
      <c r="S51" s="73"/>
      <c r="T51" s="79"/>
      <c r="U51" s="75">
        <f t="shared" si="14"/>
        <v>0</v>
      </c>
      <c r="V51" s="80" t="str">
        <f t="shared" si="15"/>
        <v/>
      </c>
      <c r="W51" s="81" t="str">
        <f t="shared" si="16"/>
        <v/>
      </c>
      <c r="X51" s="78"/>
      <c r="Y51" s="73"/>
      <c r="Z51" s="79"/>
      <c r="AA51" s="75">
        <f t="shared" si="17"/>
        <v>0</v>
      </c>
      <c r="AB51" s="80" t="str">
        <f t="shared" si="18"/>
        <v/>
      </c>
      <c r="AC51" s="81" t="str">
        <f t="shared" si="19"/>
        <v/>
      </c>
    </row>
    <row r="52" spans="1:29">
      <c r="A52" s="3"/>
      <c r="B52" s="72" t="s">
        <v>324</v>
      </c>
      <c r="C52" s="73"/>
      <c r="D52" s="74"/>
      <c r="E52" s="73"/>
      <c r="F52" s="73"/>
      <c r="G52" s="73"/>
      <c r="H52" s="75"/>
      <c r="I52" s="75"/>
      <c r="J52" s="76"/>
      <c r="K52" s="77"/>
      <c r="L52" s="78"/>
      <c r="M52" s="73"/>
      <c r="N52" s="79"/>
      <c r="O52" s="75">
        <f t="shared" si="11"/>
        <v>0</v>
      </c>
      <c r="P52" s="80" t="str">
        <f t="shared" si="12"/>
        <v/>
      </c>
      <c r="Q52" s="81" t="str">
        <f t="shared" si="13"/>
        <v/>
      </c>
      <c r="R52" s="78"/>
      <c r="S52" s="73"/>
      <c r="T52" s="79"/>
      <c r="U52" s="75">
        <f t="shared" si="14"/>
        <v>0</v>
      </c>
      <c r="V52" s="80" t="str">
        <f t="shared" si="15"/>
        <v/>
      </c>
      <c r="W52" s="81" t="str">
        <f t="shared" si="16"/>
        <v/>
      </c>
      <c r="X52" s="78"/>
      <c r="Y52" s="73"/>
      <c r="Z52" s="79"/>
      <c r="AA52" s="75">
        <f t="shared" si="17"/>
        <v>0</v>
      </c>
      <c r="AB52" s="80" t="str">
        <f t="shared" si="18"/>
        <v/>
      </c>
      <c r="AC52" s="81" t="str">
        <f t="shared" si="19"/>
        <v/>
      </c>
    </row>
    <row r="53" spans="1:29">
      <c r="A53" s="3"/>
      <c r="B53" s="83" t="str">
        <f>[1]!ArticleCode(Art_03.)</f>
        <v>03.</v>
      </c>
      <c r="C53" s="84" t="str">
        <f>[1]!ArticleDescription(Art_03.)</f>
        <v>AFBRAAKWERKEN</v>
      </c>
      <c r="D53" s="73"/>
      <c r="E53" s="73"/>
      <c r="F53" s="73"/>
      <c r="G53" s="73"/>
      <c r="H53" s="75"/>
      <c r="I53" s="75"/>
      <c r="J53" s="76"/>
      <c r="K53" s="77"/>
      <c r="L53" s="78"/>
      <c r="M53" s="73"/>
      <c r="N53" s="79"/>
      <c r="O53" s="75">
        <f t="shared" si="11"/>
        <v>0</v>
      </c>
      <c r="P53" s="80" t="str">
        <f t="shared" si="12"/>
        <v/>
      </c>
      <c r="Q53" s="81" t="str">
        <f t="shared" si="13"/>
        <v/>
      </c>
      <c r="R53" s="78"/>
      <c r="S53" s="73"/>
      <c r="T53" s="79"/>
      <c r="U53" s="75">
        <f t="shared" si="14"/>
        <v>0</v>
      </c>
      <c r="V53" s="80" t="str">
        <f t="shared" si="15"/>
        <v/>
      </c>
      <c r="W53" s="81" t="str">
        <f t="shared" si="16"/>
        <v/>
      </c>
      <c r="X53" s="78"/>
      <c r="Y53" s="73"/>
      <c r="Z53" s="79"/>
      <c r="AA53" s="75">
        <f t="shared" si="17"/>
        <v>0</v>
      </c>
      <c r="AB53" s="80" t="str">
        <f t="shared" si="18"/>
        <v/>
      </c>
      <c r="AC53" s="81" t="str">
        <f t="shared" si="19"/>
        <v/>
      </c>
    </row>
    <row r="54" spans="1:29">
      <c r="A54" s="3"/>
      <c r="B54" s="83" t="str">
        <f>[1]!ArticleCode(Art_03.00.)</f>
        <v>03.00.</v>
      </c>
      <c r="C54" s="84" t="str">
        <f>[1]!ArticleDescription(Art_03.00.)</f>
        <v>afbraakwerken – algemeen</v>
      </c>
      <c r="D54" s="73"/>
      <c r="E54" s="73"/>
      <c r="F54" s="73"/>
      <c r="G54" s="73"/>
      <c r="H54" s="75"/>
      <c r="I54" s="75"/>
      <c r="J54" s="76"/>
      <c r="K54" s="77"/>
      <c r="L54" s="78"/>
      <c r="M54" s="73"/>
      <c r="N54" s="79"/>
      <c r="O54" s="75">
        <f t="shared" si="11"/>
        <v>0</v>
      </c>
      <c r="P54" s="80" t="str">
        <f t="shared" si="12"/>
        <v/>
      </c>
      <c r="Q54" s="81" t="str">
        <f t="shared" si="13"/>
        <v/>
      </c>
      <c r="R54" s="78"/>
      <c r="S54" s="73"/>
      <c r="T54" s="79"/>
      <c r="U54" s="75">
        <f t="shared" si="14"/>
        <v>0</v>
      </c>
      <c r="V54" s="80" t="str">
        <f t="shared" si="15"/>
        <v/>
      </c>
      <c r="W54" s="81" t="str">
        <f t="shared" si="16"/>
        <v/>
      </c>
      <c r="X54" s="78"/>
      <c r="Y54" s="73"/>
      <c r="Z54" s="79"/>
      <c r="AA54" s="75">
        <f t="shared" si="17"/>
        <v>0</v>
      </c>
      <c r="AB54" s="80" t="str">
        <f t="shared" si="18"/>
        <v/>
      </c>
      <c r="AC54" s="81" t="str">
        <f t="shared" si="19"/>
        <v/>
      </c>
    </row>
    <row r="55" spans="1:29">
      <c r="A55" s="3"/>
      <c r="B55" s="83" t="str">
        <f>[1]!ArticleCode(Art_03.30.)</f>
        <v>03.30.</v>
      </c>
      <c r="C55" s="84" t="str">
        <f>[1]!ArticleDescription(Art_03.30.)</f>
        <v>afbraak dakelementen – algemeen</v>
      </c>
      <c r="D55" s="73"/>
      <c r="E55" s="73"/>
      <c r="F55" s="73"/>
      <c r="G55" s="73"/>
      <c r="H55" s="75"/>
      <c r="I55" s="75"/>
      <c r="J55" s="76"/>
      <c r="K55" s="77"/>
      <c r="L55" s="78"/>
      <c r="M55" s="73"/>
      <c r="N55" s="79"/>
      <c r="O55" s="75">
        <f t="shared" si="11"/>
        <v>0</v>
      </c>
      <c r="P55" s="80" t="str">
        <f t="shared" si="12"/>
        <v/>
      </c>
      <c r="Q55" s="81" t="str">
        <f t="shared" si="13"/>
        <v/>
      </c>
      <c r="R55" s="78"/>
      <c r="S55" s="73"/>
      <c r="T55" s="79"/>
      <c r="U55" s="75">
        <f t="shared" si="14"/>
        <v>0</v>
      </c>
      <c r="V55" s="80" t="str">
        <f t="shared" si="15"/>
        <v/>
      </c>
      <c r="W55" s="81" t="str">
        <f t="shared" si="16"/>
        <v/>
      </c>
      <c r="X55" s="78"/>
      <c r="Y55" s="73"/>
      <c r="Z55" s="79"/>
      <c r="AA55" s="75">
        <f t="shared" si="17"/>
        <v>0</v>
      </c>
      <c r="AB55" s="80" t="str">
        <f t="shared" si="18"/>
        <v/>
      </c>
      <c r="AC55" s="81" t="str">
        <f t="shared" si="19"/>
        <v/>
      </c>
    </row>
    <row r="56" spans="1:29">
      <c r="A56" s="3"/>
      <c r="B56" s="83" t="str">
        <f>[1]!ArticleCode(Art_03.31.)</f>
        <v>03.31.</v>
      </c>
      <c r="C56" s="84" t="str">
        <f>[1]!ArticleDescription(Art_03.31.)</f>
        <v>afbraak dakelementen – hellend dak</v>
      </c>
      <c r="D56" s="73"/>
      <c r="E56" s="73"/>
      <c r="F56" s="73"/>
      <c r="G56" s="73"/>
      <c r="H56" s="75"/>
      <c r="I56" s="75"/>
      <c r="J56" s="76"/>
      <c r="K56" s="77"/>
      <c r="L56" s="78"/>
      <c r="M56" s="73"/>
      <c r="N56" s="79"/>
      <c r="O56" s="75">
        <f t="shared" si="11"/>
        <v>0</v>
      </c>
      <c r="P56" s="80" t="str">
        <f t="shared" si="12"/>
        <v/>
      </c>
      <c r="Q56" s="81" t="str">
        <f t="shared" si="13"/>
        <v/>
      </c>
      <c r="R56" s="78"/>
      <c r="S56" s="73"/>
      <c r="T56" s="79"/>
      <c r="U56" s="75">
        <f t="shared" si="14"/>
        <v>0</v>
      </c>
      <c r="V56" s="80" t="str">
        <f t="shared" si="15"/>
        <v/>
      </c>
      <c r="W56" s="81" t="str">
        <f t="shared" si="16"/>
        <v/>
      </c>
      <c r="X56" s="78"/>
      <c r="Y56" s="73"/>
      <c r="Z56" s="79"/>
      <c r="AA56" s="75">
        <f t="shared" si="17"/>
        <v>0</v>
      </c>
      <c r="AB56" s="80" t="str">
        <f t="shared" si="18"/>
        <v/>
      </c>
      <c r="AC56" s="81" t="str">
        <f t="shared" si="19"/>
        <v/>
      </c>
    </row>
    <row r="57" spans="1:29">
      <c r="A57" s="3">
        <f>A49+1</f>
        <v>19</v>
      </c>
      <c r="B57" s="83" t="str">
        <f>[1]!ArticleCode(Art_03.31.20.)</f>
        <v>03.31.20.</v>
      </c>
      <c r="C57" s="84" t="str">
        <f>[1]!ArticleDescription(Art_03.31.20.)</f>
        <v>afbraak dakelementen – hellend dak/volledige dakopbouw thv dakkapellen</v>
      </c>
      <c r="D57" s="73" t="str">
        <f>[1]!ArticleMeasureType(Art_03.31.20.)</f>
        <v>FH</v>
      </c>
      <c r="E57" s="73" t="str">
        <f>[1]!ArticleMeasureUnit(Art_03.31.20.)</f>
        <v>m²</v>
      </c>
      <c r="F57" s="92">
        <f>[1]!ArticleQuantity(Art_03.31.20.)</f>
        <v>20.82</v>
      </c>
      <c r="G57" s="73"/>
      <c r="H57" s="75"/>
      <c r="I57" s="75">
        <f>IF(RIGHT($D57,1)="-","************",ROUND(IF(NOT(ISNUMBER(G57)),IF(NOT(ISNUMBER(F57)),1,F57),G57)*H57,2))</f>
        <v>0</v>
      </c>
      <c r="J57" s="76"/>
      <c r="K57" s="77"/>
      <c r="L57" s="78"/>
      <c r="M57" s="73"/>
      <c r="N57" s="79"/>
      <c r="O57" s="75">
        <f t="shared" si="11"/>
        <v>0</v>
      </c>
      <c r="P57" s="80" t="str">
        <f t="shared" si="12"/>
        <v/>
      </c>
      <c r="Q57" s="81" t="str">
        <f t="shared" si="13"/>
        <v/>
      </c>
      <c r="R57" s="78"/>
      <c r="S57" s="73"/>
      <c r="T57" s="79"/>
      <c r="U57" s="75">
        <f t="shared" si="14"/>
        <v>0</v>
      </c>
      <c r="V57" s="80" t="str">
        <f t="shared" si="15"/>
        <v/>
      </c>
      <c r="W57" s="81" t="str">
        <f t="shared" si="16"/>
        <v/>
      </c>
      <c r="X57" s="78"/>
      <c r="Y57" s="73"/>
      <c r="Z57" s="79"/>
      <c r="AA57" s="75">
        <f t="shared" si="17"/>
        <v>0</v>
      </c>
      <c r="AB57" s="80" t="str">
        <f t="shared" si="18"/>
        <v/>
      </c>
      <c r="AC57" s="81" t="str">
        <f t="shared" si="19"/>
        <v/>
      </c>
    </row>
    <row r="58" spans="1:29">
      <c r="A58" s="3"/>
      <c r="B58" s="85"/>
      <c r="C58" s="86"/>
      <c r="D58" s="87"/>
      <c r="E58" s="86"/>
      <c r="F58" s="86"/>
      <c r="G58" s="86"/>
      <c r="H58" s="88"/>
      <c r="I58" s="88"/>
      <c r="J58" s="89">
        <f>SUBTOTAL(9,I53:I57)</f>
        <v>0</v>
      </c>
      <c r="K58" s="77"/>
      <c r="L58" s="78"/>
      <c r="M58" s="73"/>
      <c r="N58" s="79"/>
      <c r="O58" s="75">
        <f t="shared" si="11"/>
        <v>0</v>
      </c>
      <c r="P58" s="80" t="str">
        <f t="shared" si="12"/>
        <v/>
      </c>
      <c r="Q58" s="81" t="str">
        <f t="shared" si="13"/>
        <v/>
      </c>
      <c r="R58" s="78"/>
      <c r="S58" s="73"/>
      <c r="T58" s="79"/>
      <c r="U58" s="75">
        <f t="shared" si="14"/>
        <v>0</v>
      </c>
      <c r="V58" s="80" t="str">
        <f t="shared" si="15"/>
        <v/>
      </c>
      <c r="W58" s="81" t="str">
        <f t="shared" si="16"/>
        <v/>
      </c>
      <c r="X58" s="78"/>
      <c r="Y58" s="73"/>
      <c r="Z58" s="79"/>
      <c r="AA58" s="75">
        <f t="shared" si="17"/>
        <v>0</v>
      </c>
      <c r="AB58" s="80" t="str">
        <f t="shared" si="18"/>
        <v/>
      </c>
      <c r="AC58" s="81" t="str">
        <f t="shared" si="19"/>
        <v/>
      </c>
    </row>
    <row r="59" spans="1:29">
      <c r="A59" s="3"/>
      <c r="B59" s="90"/>
      <c r="C59" s="73"/>
      <c r="D59" s="73"/>
      <c r="E59" s="73"/>
      <c r="F59" s="73"/>
      <c r="G59" s="73"/>
      <c r="H59" s="75"/>
      <c r="I59" s="75"/>
      <c r="J59" s="76"/>
      <c r="K59" s="77"/>
      <c r="L59" s="78"/>
      <c r="M59" s="73"/>
      <c r="N59" s="79"/>
      <c r="O59" s="75">
        <f t="shared" si="11"/>
        <v>0</v>
      </c>
      <c r="P59" s="80" t="str">
        <f t="shared" si="12"/>
        <v/>
      </c>
      <c r="Q59" s="81" t="str">
        <f t="shared" si="13"/>
        <v/>
      </c>
      <c r="R59" s="78"/>
      <c r="S59" s="73"/>
      <c r="T59" s="79"/>
      <c r="U59" s="75">
        <f t="shared" si="14"/>
        <v>0</v>
      </c>
      <c r="V59" s="80" t="str">
        <f t="shared" si="15"/>
        <v/>
      </c>
      <c r="W59" s="81" t="str">
        <f t="shared" si="16"/>
        <v/>
      </c>
      <c r="X59" s="78"/>
      <c r="Y59" s="73"/>
      <c r="Z59" s="79"/>
      <c r="AA59" s="75">
        <f t="shared" si="17"/>
        <v>0</v>
      </c>
      <c r="AB59" s="80" t="str">
        <f t="shared" si="18"/>
        <v/>
      </c>
      <c r="AC59" s="81" t="str">
        <f t="shared" si="19"/>
        <v/>
      </c>
    </row>
    <row r="60" spans="1:29">
      <c r="A60" s="3"/>
      <c r="B60" s="72" t="s">
        <v>325</v>
      </c>
      <c r="C60" s="73"/>
      <c r="D60" s="74"/>
      <c r="E60" s="73"/>
      <c r="F60" s="73"/>
      <c r="G60" s="73"/>
      <c r="H60" s="75"/>
      <c r="I60" s="75"/>
      <c r="J60" s="76"/>
      <c r="K60" s="77"/>
      <c r="L60" s="78"/>
      <c r="M60" s="73"/>
      <c r="N60" s="79"/>
      <c r="O60" s="75">
        <f t="shared" si="11"/>
        <v>0</v>
      </c>
      <c r="P60" s="80" t="str">
        <f t="shared" si="12"/>
        <v/>
      </c>
      <c r="Q60" s="81" t="str">
        <f t="shared" si="13"/>
        <v/>
      </c>
      <c r="R60" s="78"/>
      <c r="S60" s="73"/>
      <c r="T60" s="79"/>
      <c r="U60" s="75">
        <f t="shared" si="14"/>
        <v>0</v>
      </c>
      <c r="V60" s="80" t="str">
        <f t="shared" si="15"/>
        <v/>
      </c>
      <c r="W60" s="81" t="str">
        <f t="shared" si="16"/>
        <v/>
      </c>
      <c r="X60" s="78"/>
      <c r="Y60" s="73"/>
      <c r="Z60" s="79"/>
      <c r="AA60" s="75">
        <f t="shared" si="17"/>
        <v>0</v>
      </c>
      <c r="AB60" s="80" t="str">
        <f t="shared" si="18"/>
        <v/>
      </c>
      <c r="AC60" s="81" t="str">
        <f t="shared" si="19"/>
        <v/>
      </c>
    </row>
    <row r="61" spans="1:29">
      <c r="A61" s="3"/>
      <c r="B61" s="83" t="str">
        <f>[1]!ArticleCode(Art_04.)</f>
        <v>04.</v>
      </c>
      <c r="C61" s="84" t="str">
        <f>[1]!ArticleDescription(Art_04.)</f>
        <v>GEBOUWPRESTATIES</v>
      </c>
      <c r="D61" s="73"/>
      <c r="E61" s="73"/>
      <c r="F61" s="73"/>
      <c r="G61" s="73"/>
      <c r="H61" s="75"/>
      <c r="I61" s="75"/>
      <c r="J61" s="76"/>
      <c r="K61" s="77"/>
      <c r="L61" s="78"/>
      <c r="M61" s="73"/>
      <c r="N61" s="79"/>
      <c r="O61" s="75">
        <f t="shared" si="11"/>
        <v>0</v>
      </c>
      <c r="P61" s="80" t="str">
        <f t="shared" si="12"/>
        <v/>
      </c>
      <c r="Q61" s="81" t="str">
        <f t="shared" si="13"/>
        <v/>
      </c>
      <c r="R61" s="78"/>
      <c r="S61" s="73"/>
      <c r="T61" s="79"/>
      <c r="U61" s="75">
        <f t="shared" si="14"/>
        <v>0</v>
      </c>
      <c r="V61" s="80" t="str">
        <f t="shared" si="15"/>
        <v/>
      </c>
      <c r="W61" s="81" t="str">
        <f t="shared" si="16"/>
        <v/>
      </c>
      <c r="X61" s="78"/>
      <c r="Y61" s="73"/>
      <c r="Z61" s="79"/>
      <c r="AA61" s="75">
        <f t="shared" si="17"/>
        <v>0</v>
      </c>
      <c r="AB61" s="80" t="str">
        <f t="shared" si="18"/>
        <v/>
      </c>
      <c r="AC61" s="81" t="str">
        <f t="shared" si="19"/>
        <v/>
      </c>
    </row>
    <row r="62" spans="1:29">
      <c r="A62" s="3"/>
      <c r="B62" s="83" t="str">
        <f>[1]!ArticleCode(Art_04.00.)</f>
        <v>04.00.</v>
      </c>
      <c r="C62" s="84" t="str">
        <f>[1]!ArticleDescription(Art_04.00.)</f>
        <v>gebouwprestaties - algemeen</v>
      </c>
      <c r="D62" s="73"/>
      <c r="E62" s="73"/>
      <c r="F62" s="73"/>
      <c r="G62" s="73"/>
      <c r="H62" s="75"/>
      <c r="I62" s="75"/>
      <c r="J62" s="76"/>
      <c r="K62" s="77"/>
      <c r="L62" s="78"/>
      <c r="M62" s="73"/>
      <c r="N62" s="79"/>
      <c r="O62" s="75">
        <f t="shared" si="11"/>
        <v>0</v>
      </c>
      <c r="P62" s="80" t="str">
        <f t="shared" si="12"/>
        <v/>
      </c>
      <c r="Q62" s="81" t="str">
        <f t="shared" si="13"/>
        <v/>
      </c>
      <c r="R62" s="78"/>
      <c r="S62" s="73"/>
      <c r="T62" s="79"/>
      <c r="U62" s="75">
        <f t="shared" si="14"/>
        <v>0</v>
      </c>
      <c r="V62" s="80" t="str">
        <f t="shared" si="15"/>
        <v/>
      </c>
      <c r="W62" s="81" t="str">
        <f t="shared" si="16"/>
        <v/>
      </c>
      <c r="X62" s="78"/>
      <c r="Y62" s="73"/>
      <c r="Z62" s="79"/>
      <c r="AA62" s="75">
        <f t="shared" si="17"/>
        <v>0</v>
      </c>
      <c r="AB62" s="80" t="str">
        <f t="shared" si="18"/>
        <v/>
      </c>
      <c r="AC62" s="81" t="str">
        <f t="shared" si="19"/>
        <v/>
      </c>
    </row>
    <row r="63" spans="1:29">
      <c r="A63" s="3">
        <f>A57+1</f>
        <v>20</v>
      </c>
      <c r="B63" s="83" t="str">
        <f>[1]!ArticleCode(Art_04.20.)</f>
        <v>04.20.</v>
      </c>
      <c r="C63" s="84" t="str">
        <f>[1]!ArticleDescription(Art_04.20.)</f>
        <v>luchtdichtheid - algemeen</v>
      </c>
      <c r="D63" s="73" t="str">
        <f>[1]!ArticleMeasureType(Art_04.20.)</f>
        <v>PM</v>
      </c>
      <c r="E63" s="73" t="str">
        <f>[1]!ArticleMeasureUnit(Art_04.20.)</f>
        <v/>
      </c>
      <c r="F63" s="91" t="str">
        <f>[1]!ArticleQuantity(Art_04.20.)</f>
        <v/>
      </c>
      <c r="G63" s="73"/>
      <c r="H63" s="75"/>
      <c r="I63" s="75">
        <f>IF(RIGHT($D63,1)="-","************",ROUND(IF(NOT(ISNUMBER(G63)),IF(NOT(ISNUMBER(F63)),1,F63),G63)*H63,2))</f>
        <v>0</v>
      </c>
      <c r="J63" s="76"/>
      <c r="K63" s="77"/>
      <c r="L63" s="78"/>
      <c r="M63" s="73"/>
      <c r="N63" s="79"/>
      <c r="O63" s="75">
        <f t="shared" si="11"/>
        <v>0</v>
      </c>
      <c r="P63" s="80" t="str">
        <f t="shared" si="12"/>
        <v/>
      </c>
      <c r="Q63" s="81" t="str">
        <f t="shared" si="13"/>
        <v/>
      </c>
      <c r="R63" s="78"/>
      <c r="S63" s="73"/>
      <c r="T63" s="79"/>
      <c r="U63" s="75">
        <f t="shared" si="14"/>
        <v>0</v>
      </c>
      <c r="V63" s="80" t="str">
        <f t="shared" si="15"/>
        <v/>
      </c>
      <c r="W63" s="81" t="str">
        <f t="shared" si="16"/>
        <v/>
      </c>
      <c r="X63" s="78"/>
      <c r="Y63" s="73"/>
      <c r="Z63" s="79"/>
      <c r="AA63" s="75">
        <f t="shared" si="17"/>
        <v>0</v>
      </c>
      <c r="AB63" s="80" t="str">
        <f t="shared" si="18"/>
        <v/>
      </c>
      <c r="AC63" s="81" t="str">
        <f t="shared" si="19"/>
        <v/>
      </c>
    </row>
    <row r="64" spans="1:29">
      <c r="A64" s="3">
        <f>A63+1</f>
        <v>21</v>
      </c>
      <c r="B64" s="83" t="str">
        <f>[1]!ArticleCode(Art_04.30.)</f>
        <v>04.30.</v>
      </c>
      <c r="C64" s="84" t="str">
        <f>[1]!ArticleDescription(Art_04.30.)</f>
        <v>akoestiek - algemeen</v>
      </c>
      <c r="D64" s="73" t="str">
        <f>[1]!ArticleMeasureType(Art_04.30.)</f>
        <v>PM</v>
      </c>
      <c r="E64" s="73" t="str">
        <f>[1]!ArticleMeasureUnit(Art_04.30.)</f>
        <v/>
      </c>
      <c r="F64" s="91" t="str">
        <f>[1]!ArticleQuantity(Art_04.30.)</f>
        <v/>
      </c>
      <c r="G64" s="73"/>
      <c r="H64" s="75"/>
      <c r="I64" s="75">
        <f>IF(RIGHT($D64,1)="-","************",ROUND(IF(NOT(ISNUMBER(G64)),IF(NOT(ISNUMBER(F64)),1,F64),G64)*H64,2))</f>
        <v>0</v>
      </c>
      <c r="J64" s="76"/>
      <c r="K64" s="77"/>
      <c r="L64" s="78"/>
      <c r="M64" s="73"/>
      <c r="N64" s="79"/>
      <c r="O64" s="75">
        <f t="shared" si="11"/>
        <v>0</v>
      </c>
      <c r="P64" s="80" t="str">
        <f t="shared" si="12"/>
        <v/>
      </c>
      <c r="Q64" s="81" t="str">
        <f t="shared" si="13"/>
        <v/>
      </c>
      <c r="R64" s="78"/>
      <c r="S64" s="73"/>
      <c r="T64" s="79"/>
      <c r="U64" s="75">
        <f t="shared" si="14"/>
        <v>0</v>
      </c>
      <c r="V64" s="80" t="str">
        <f t="shared" si="15"/>
        <v/>
      </c>
      <c r="W64" s="81" t="str">
        <f t="shared" si="16"/>
        <v/>
      </c>
      <c r="X64" s="78"/>
      <c r="Y64" s="73"/>
      <c r="Z64" s="79"/>
      <c r="AA64" s="75">
        <f t="shared" si="17"/>
        <v>0</v>
      </c>
      <c r="AB64" s="80" t="str">
        <f t="shared" si="18"/>
        <v/>
      </c>
      <c r="AC64" s="81" t="str">
        <f t="shared" si="19"/>
        <v/>
      </c>
    </row>
    <row r="65" spans="1:29">
      <c r="A65" s="3">
        <f>A64+1</f>
        <v>22</v>
      </c>
      <c r="B65" s="83" t="str">
        <f>[1]!ArticleCode(Art_04.40.)</f>
        <v>04.40.</v>
      </c>
      <c r="C65" s="84" t="str">
        <f>[1]!ArticleDescription(Art_04.40.)</f>
        <v>brandveiligheid - algemeen</v>
      </c>
      <c r="D65" s="73" t="str">
        <f>[1]!ArticleMeasureType(Art_04.40.)</f>
        <v>PM</v>
      </c>
      <c r="E65" s="73" t="str">
        <f>[1]!ArticleMeasureUnit(Art_04.40.)</f>
        <v/>
      </c>
      <c r="F65" s="91" t="str">
        <f>[1]!ArticleQuantity(Art_04.40.)</f>
        <v/>
      </c>
      <c r="G65" s="73"/>
      <c r="H65" s="75"/>
      <c r="I65" s="75">
        <f>IF(RIGHT($D65,1)="-","************",ROUND(IF(NOT(ISNUMBER(G65)),IF(NOT(ISNUMBER(F65)),1,F65),G65)*H65,2))</f>
        <v>0</v>
      </c>
      <c r="J65" s="76"/>
      <c r="K65" s="77"/>
      <c r="L65" s="78"/>
      <c r="M65" s="73"/>
      <c r="N65" s="79"/>
      <c r="O65" s="75">
        <f t="shared" si="11"/>
        <v>0</v>
      </c>
      <c r="P65" s="80" t="str">
        <f t="shared" si="12"/>
        <v/>
      </c>
      <c r="Q65" s="81" t="str">
        <f t="shared" si="13"/>
        <v/>
      </c>
      <c r="R65" s="78"/>
      <c r="S65" s="73"/>
      <c r="T65" s="79"/>
      <c r="U65" s="75">
        <f t="shared" si="14"/>
        <v>0</v>
      </c>
      <c r="V65" s="80" t="str">
        <f t="shared" si="15"/>
        <v/>
      </c>
      <c r="W65" s="81" t="str">
        <f t="shared" si="16"/>
        <v/>
      </c>
      <c r="X65" s="78"/>
      <c r="Y65" s="73"/>
      <c r="Z65" s="79"/>
      <c r="AA65" s="75">
        <f t="shared" si="17"/>
        <v>0</v>
      </c>
      <c r="AB65" s="80" t="str">
        <f t="shared" si="18"/>
        <v/>
      </c>
      <c r="AC65" s="81" t="str">
        <f t="shared" si="19"/>
        <v/>
      </c>
    </row>
    <row r="66" spans="1:29">
      <c r="A66" s="3"/>
      <c r="B66" s="85"/>
      <c r="C66" s="86"/>
      <c r="D66" s="87"/>
      <c r="E66" s="86"/>
      <c r="F66" s="86"/>
      <c r="G66" s="86"/>
      <c r="H66" s="88"/>
      <c r="I66" s="88"/>
      <c r="J66" s="89">
        <f>SUBTOTAL(9,I61:I65)</f>
        <v>0</v>
      </c>
      <c r="K66" s="77"/>
      <c r="L66" s="78"/>
      <c r="M66" s="73"/>
      <c r="N66" s="79"/>
      <c r="O66" s="75">
        <f t="shared" si="11"/>
        <v>0</v>
      </c>
      <c r="P66" s="80" t="str">
        <f t="shared" si="12"/>
        <v/>
      </c>
      <c r="Q66" s="81" t="str">
        <f t="shared" si="13"/>
        <v/>
      </c>
      <c r="R66" s="78"/>
      <c r="S66" s="73"/>
      <c r="T66" s="79"/>
      <c r="U66" s="75">
        <f t="shared" si="14"/>
        <v>0</v>
      </c>
      <c r="V66" s="80" t="str">
        <f t="shared" si="15"/>
        <v/>
      </c>
      <c r="W66" s="81" t="str">
        <f t="shared" si="16"/>
        <v/>
      </c>
      <c r="X66" s="78"/>
      <c r="Y66" s="73"/>
      <c r="Z66" s="79"/>
      <c r="AA66" s="75">
        <f t="shared" si="17"/>
        <v>0</v>
      </c>
      <c r="AB66" s="80" t="str">
        <f t="shared" si="18"/>
        <v/>
      </c>
      <c r="AC66" s="81" t="str">
        <f t="shared" si="19"/>
        <v/>
      </c>
    </row>
    <row r="67" spans="1:29">
      <c r="A67" s="3"/>
      <c r="B67" s="90"/>
      <c r="C67" s="73"/>
      <c r="D67" s="73"/>
      <c r="E67" s="73"/>
      <c r="F67" s="73"/>
      <c r="G67" s="73"/>
      <c r="H67" s="75"/>
      <c r="I67" s="75"/>
      <c r="J67" s="76"/>
      <c r="K67" s="77"/>
      <c r="L67" s="78"/>
      <c r="M67" s="73"/>
      <c r="N67" s="79"/>
      <c r="O67" s="75">
        <f t="shared" si="11"/>
        <v>0</v>
      </c>
      <c r="P67" s="80" t="str">
        <f t="shared" si="12"/>
        <v/>
      </c>
      <c r="Q67" s="81" t="str">
        <f t="shared" si="13"/>
        <v/>
      </c>
      <c r="R67" s="78"/>
      <c r="S67" s="73"/>
      <c r="T67" s="79"/>
      <c r="U67" s="75">
        <f t="shared" si="14"/>
        <v>0</v>
      </c>
      <c r="V67" s="80" t="str">
        <f t="shared" si="15"/>
        <v/>
      </c>
      <c r="W67" s="81" t="str">
        <f t="shared" si="16"/>
        <v/>
      </c>
      <c r="X67" s="78"/>
      <c r="Y67" s="73"/>
      <c r="Z67" s="79"/>
      <c r="AA67" s="75">
        <f t="shared" si="17"/>
        <v>0</v>
      </c>
      <c r="AB67" s="80" t="str">
        <f t="shared" si="18"/>
        <v/>
      </c>
      <c r="AC67" s="81" t="str">
        <f t="shared" si="19"/>
        <v/>
      </c>
    </row>
    <row r="68" spans="1:29">
      <c r="A68" s="3"/>
      <c r="B68" s="72" t="s">
        <v>326</v>
      </c>
      <c r="C68" s="73"/>
      <c r="D68" s="74"/>
      <c r="E68" s="73"/>
      <c r="F68" s="73"/>
      <c r="G68" s="73"/>
      <c r="H68" s="75"/>
      <c r="I68" s="75"/>
      <c r="J68" s="76"/>
      <c r="K68" s="77"/>
      <c r="L68" s="78"/>
      <c r="M68" s="73"/>
      <c r="N68" s="79"/>
      <c r="O68" s="75">
        <f t="shared" si="11"/>
        <v>0</v>
      </c>
      <c r="P68" s="80" t="str">
        <f t="shared" si="12"/>
        <v/>
      </c>
      <c r="Q68" s="81" t="str">
        <f t="shared" si="13"/>
        <v/>
      </c>
      <c r="R68" s="78"/>
      <c r="S68" s="73"/>
      <c r="T68" s="79"/>
      <c r="U68" s="75">
        <f t="shared" si="14"/>
        <v>0</v>
      </c>
      <c r="V68" s="80" t="str">
        <f t="shared" si="15"/>
        <v/>
      </c>
      <c r="W68" s="81" t="str">
        <f t="shared" si="16"/>
        <v/>
      </c>
      <c r="X68" s="78"/>
      <c r="Y68" s="73"/>
      <c r="Z68" s="79"/>
      <c r="AA68" s="75">
        <f t="shared" si="17"/>
        <v>0</v>
      </c>
      <c r="AB68" s="80" t="str">
        <f t="shared" si="18"/>
        <v/>
      </c>
      <c r="AC68" s="81" t="str">
        <f t="shared" si="19"/>
        <v/>
      </c>
    </row>
    <row r="69" spans="1:29">
      <c r="A69" s="3"/>
      <c r="B69" s="83" t="str">
        <f>[1]!ArticleCode(Art_30.)</f>
        <v>30.</v>
      </c>
      <c r="C69" s="84" t="str">
        <f>[1]!ArticleDescription(Art_30.)</f>
        <v>DAKOPBOUW HELLEND DAK</v>
      </c>
      <c r="D69" s="73"/>
      <c r="E69" s="73"/>
      <c r="F69" s="73"/>
      <c r="G69" s="73"/>
      <c r="H69" s="75"/>
      <c r="I69" s="75"/>
      <c r="J69" s="76"/>
      <c r="K69" s="77"/>
      <c r="L69" s="78"/>
      <c r="M69" s="73"/>
      <c r="N69" s="79"/>
      <c r="O69" s="75">
        <f t="shared" si="11"/>
        <v>0</v>
      </c>
      <c r="P69" s="80" t="str">
        <f t="shared" si="12"/>
        <v/>
      </c>
      <c r="Q69" s="81" t="str">
        <f t="shared" si="13"/>
        <v/>
      </c>
      <c r="R69" s="78"/>
      <c r="S69" s="73"/>
      <c r="T69" s="79"/>
      <c r="U69" s="75">
        <f t="shared" si="14"/>
        <v>0</v>
      </c>
      <c r="V69" s="80" t="str">
        <f t="shared" si="15"/>
        <v/>
      </c>
      <c r="W69" s="81" t="str">
        <f t="shared" si="16"/>
        <v/>
      </c>
      <c r="X69" s="78"/>
      <c r="Y69" s="73"/>
      <c r="Z69" s="79"/>
      <c r="AA69" s="75">
        <f t="shared" si="17"/>
        <v>0</v>
      </c>
      <c r="AB69" s="80" t="str">
        <f t="shared" si="18"/>
        <v/>
      </c>
      <c r="AC69" s="81" t="str">
        <f t="shared" si="19"/>
        <v/>
      </c>
    </row>
    <row r="70" spans="1:29">
      <c r="A70" s="3"/>
      <c r="B70" s="83" t="str">
        <f>[1]!ArticleCode(Art_30.00.)</f>
        <v>30.00.</v>
      </c>
      <c r="C70" s="84" t="str">
        <f>[1]!ArticleDescription(Art_30.00.)</f>
        <v>dakopbouw hellend dak - algemeen</v>
      </c>
      <c r="D70" s="73"/>
      <c r="E70" s="73"/>
      <c r="F70" s="73"/>
      <c r="G70" s="73"/>
      <c r="H70" s="75"/>
      <c r="I70" s="75"/>
      <c r="J70" s="76"/>
      <c r="K70" s="77"/>
      <c r="L70" s="78"/>
      <c r="M70" s="73"/>
      <c r="N70" s="79"/>
      <c r="O70" s="75">
        <f t="shared" si="11"/>
        <v>0</v>
      </c>
      <c r="P70" s="80" t="str">
        <f t="shared" si="12"/>
        <v/>
      </c>
      <c r="Q70" s="81" t="str">
        <f t="shared" si="13"/>
        <v/>
      </c>
      <c r="R70" s="78"/>
      <c r="S70" s="73"/>
      <c r="T70" s="79"/>
      <c r="U70" s="75">
        <f t="shared" si="14"/>
        <v>0</v>
      </c>
      <c r="V70" s="80" t="str">
        <f t="shared" si="15"/>
        <v/>
      </c>
      <c r="W70" s="81" t="str">
        <f t="shared" si="16"/>
        <v/>
      </c>
      <c r="X70" s="78"/>
      <c r="Y70" s="73"/>
      <c r="Z70" s="79"/>
      <c r="AA70" s="75">
        <f t="shared" si="17"/>
        <v>0</v>
      </c>
      <c r="AB70" s="80" t="str">
        <f t="shared" si="18"/>
        <v/>
      </c>
      <c r="AC70" s="81" t="str">
        <f t="shared" si="19"/>
        <v/>
      </c>
    </row>
    <row r="71" spans="1:29">
      <c r="A71" s="3">
        <f>A65+1</f>
        <v>23</v>
      </c>
      <c r="B71" s="83" t="str">
        <f>[1]!ArticleCode(Art_30.01.)</f>
        <v>30.01.</v>
      </c>
      <c r="C71" s="84" t="str">
        <f>[1]!ArticleDescription(Art_30.01.)</f>
        <v>dakopbouw hellend dak - stabiliteitsstudie</v>
      </c>
      <c r="D71" s="73" t="str">
        <f>[1]!ArticleMeasureType(Art_30.01.)</f>
        <v>PM</v>
      </c>
      <c r="E71" s="73" t="str">
        <f>[1]!ArticleMeasureUnit(Art_30.01.)</f>
        <v/>
      </c>
      <c r="F71" s="91" t="str">
        <f>[1]!ArticleQuantity(Art_30.01.)</f>
        <v/>
      </c>
      <c r="G71" s="73"/>
      <c r="H71" s="75"/>
      <c r="I71" s="75">
        <f>IF(RIGHT($D71,1)="-","************",ROUND(IF(NOT(ISNUMBER(G71)),IF(NOT(ISNUMBER(F71)),1,F71),G71)*H71,2))</f>
        <v>0</v>
      </c>
      <c r="J71" s="76"/>
      <c r="K71" s="77"/>
      <c r="L71" s="78"/>
      <c r="M71" s="73"/>
      <c r="N71" s="79"/>
      <c r="O71" s="75">
        <f t="shared" si="11"/>
        <v>0</v>
      </c>
      <c r="P71" s="80" t="str">
        <f t="shared" si="12"/>
        <v/>
      </c>
      <c r="Q71" s="81" t="str">
        <f t="shared" si="13"/>
        <v/>
      </c>
      <c r="R71" s="78"/>
      <c r="S71" s="73"/>
      <c r="T71" s="79"/>
      <c r="U71" s="75">
        <f t="shared" si="14"/>
        <v>0</v>
      </c>
      <c r="V71" s="80" t="str">
        <f t="shared" si="15"/>
        <v/>
      </c>
      <c r="W71" s="81" t="str">
        <f t="shared" si="16"/>
        <v/>
      </c>
      <c r="X71" s="78"/>
      <c r="Y71" s="73"/>
      <c r="Z71" s="79"/>
      <c r="AA71" s="75">
        <f t="shared" si="17"/>
        <v>0</v>
      </c>
      <c r="AB71" s="80" t="str">
        <f t="shared" si="18"/>
        <v/>
      </c>
      <c r="AC71" s="81" t="str">
        <f t="shared" si="19"/>
        <v/>
      </c>
    </row>
    <row r="72" spans="1:29">
      <c r="A72" s="3">
        <f>A71+1</f>
        <v>24</v>
      </c>
      <c r="B72" s="83" t="str">
        <f>[1]!ArticleCode(Art_30.10.)</f>
        <v>30.10.</v>
      </c>
      <c r="C72" s="84" t="str">
        <f>[1]!ArticleDescription(Art_30.10.)</f>
        <v>houten dakstructuur – algemeen</v>
      </c>
      <c r="D72" s="73" t="str">
        <f>[1]!ArticleMeasureType(Art_30.10.)</f>
        <v>PM</v>
      </c>
      <c r="E72" s="73" t="str">
        <f>[1]!ArticleMeasureUnit(Art_30.10.)</f>
        <v/>
      </c>
      <c r="F72" s="91" t="str">
        <f>[1]!ArticleQuantity(Art_30.10.)</f>
        <v/>
      </c>
      <c r="G72" s="73"/>
      <c r="H72" s="75"/>
      <c r="I72" s="75">
        <f>IF(RIGHT($D72,1)="-","************",ROUND(IF(NOT(ISNUMBER(G72)),IF(NOT(ISNUMBER(F72)),1,F72),G72)*H72,2))</f>
        <v>0</v>
      </c>
      <c r="J72" s="76"/>
      <c r="K72" s="77"/>
      <c r="L72" s="78"/>
      <c r="M72" s="73"/>
      <c r="N72" s="79"/>
      <c r="O72" s="75">
        <f t="shared" si="11"/>
        <v>0</v>
      </c>
      <c r="P72" s="80" t="str">
        <f t="shared" si="12"/>
        <v/>
      </c>
      <c r="Q72" s="81" t="str">
        <f t="shared" si="13"/>
        <v/>
      </c>
      <c r="R72" s="78"/>
      <c r="S72" s="73"/>
      <c r="T72" s="79"/>
      <c r="U72" s="75">
        <f t="shared" si="14"/>
        <v>0</v>
      </c>
      <c r="V72" s="80" t="str">
        <f t="shared" si="15"/>
        <v/>
      </c>
      <c r="W72" s="81" t="str">
        <f t="shared" si="16"/>
        <v/>
      </c>
      <c r="X72" s="78"/>
      <c r="Y72" s="73"/>
      <c r="Z72" s="79"/>
      <c r="AA72" s="75">
        <f t="shared" si="17"/>
        <v>0</v>
      </c>
      <c r="AB72" s="80" t="str">
        <f t="shared" si="18"/>
        <v/>
      </c>
      <c r="AC72" s="81" t="str">
        <f t="shared" si="19"/>
        <v/>
      </c>
    </row>
    <row r="73" spans="1:29">
      <c r="A73" s="3"/>
      <c r="B73" s="83" t="str">
        <f>[1]!ArticleCode(Art_30.12.)</f>
        <v>30.12.</v>
      </c>
      <c r="C73" s="84" t="str">
        <f>[1]!ArticleDescription(Art_30.12.)</f>
        <v>houten dakstructuur - gordingen</v>
      </c>
      <c r="D73" s="73"/>
      <c r="E73" s="73"/>
      <c r="F73" s="73"/>
      <c r="G73" s="73"/>
      <c r="H73" s="75"/>
      <c r="I73" s="75"/>
      <c r="J73" s="76"/>
      <c r="K73" s="77"/>
      <c r="L73" s="78"/>
      <c r="M73" s="73"/>
      <c r="N73" s="79"/>
      <c r="O73" s="75">
        <f t="shared" si="11"/>
        <v>0</v>
      </c>
      <c r="P73" s="80" t="str">
        <f t="shared" si="12"/>
        <v/>
      </c>
      <c r="Q73" s="81" t="str">
        <f t="shared" si="13"/>
        <v/>
      </c>
      <c r="R73" s="78"/>
      <c r="S73" s="73"/>
      <c r="T73" s="79"/>
      <c r="U73" s="75">
        <f t="shared" si="14"/>
        <v>0</v>
      </c>
      <c r="V73" s="80" t="str">
        <f t="shared" si="15"/>
        <v/>
      </c>
      <c r="W73" s="81" t="str">
        <f t="shared" si="16"/>
        <v/>
      </c>
      <c r="X73" s="78"/>
      <c r="Y73" s="73"/>
      <c r="Z73" s="79"/>
      <c r="AA73" s="75">
        <f t="shared" si="17"/>
        <v>0</v>
      </c>
      <c r="AB73" s="80" t="str">
        <f t="shared" si="18"/>
        <v/>
      </c>
      <c r="AC73" s="81" t="str">
        <f t="shared" si="19"/>
        <v/>
      </c>
    </row>
    <row r="74" spans="1:29">
      <c r="A74" s="3">
        <f>A72+1</f>
        <v>25</v>
      </c>
      <c r="B74" s="83" t="str">
        <f>[1]!ArticleCode(Art_30.12.10.)</f>
        <v>30.12.10.</v>
      </c>
      <c r="C74" s="84" t="str">
        <f>[1]!ArticleDescription(Art_30.12.10.)</f>
        <v>houten dakstructuur - gordingen/massief hout (thv elke kape)</v>
      </c>
      <c r="D74" s="73" t="str">
        <f>[1]!ArticleMeasureType(Art_30.12.10.)</f>
        <v>FH|</v>
      </c>
      <c r="E74" s="73" t="str">
        <f>[1]!ArticleMeasureUnit(Art_30.12.10.)</f>
        <v>st</v>
      </c>
      <c r="F74" s="91">
        <f>[1]!ArticleQuantity(Art_30.12.10.)</f>
        <v>6</v>
      </c>
      <c r="G74" s="73"/>
      <c r="H74" s="75"/>
      <c r="I74" s="75">
        <f>IF(RIGHT($D74,1)="-","************",ROUND(IF(NOT(ISNUMBER(G74)),IF(NOT(ISNUMBER(F74)),1,F74),G74)*H74,2))</f>
        <v>0</v>
      </c>
      <c r="J74" s="76"/>
      <c r="K74" s="77"/>
      <c r="L74" s="78"/>
      <c r="M74" s="73"/>
      <c r="N74" s="79"/>
      <c r="O74" s="75">
        <f t="shared" ref="O74:O105" si="20">IF(MID($D74,3,1)="-","*********",ROUND(IF(NOT(ISNUMBER($G74)),IF(NOT(ISNUMBER($F74)),1,$F74),$G74)*(IF(NOT(ISNUMBER(N74)),L74,N74)),2))</f>
        <v>0</v>
      </c>
      <c r="P74" s="80" t="str">
        <f t="shared" ref="P74:P105" si="21">IF(O$187=0,"",O74/O$187)</f>
        <v/>
      </c>
      <c r="Q74" s="81" t="str">
        <f t="shared" ref="Q74:Q105" si="22">IF($K74=0,"",IF(NOT(ISNUMBER(N74)),L74,N74)/$K74-1)</f>
        <v/>
      </c>
      <c r="R74" s="78"/>
      <c r="S74" s="73"/>
      <c r="T74" s="79"/>
      <c r="U74" s="75">
        <f t="shared" ref="U74:U105" si="23">IF(MID($D74,3,1)="-","*********",ROUND(IF(NOT(ISNUMBER($G74)),IF(NOT(ISNUMBER($F74)),1,$F74),$G74)*(IF(NOT(ISNUMBER(T74)),R74,T74)),2))</f>
        <v>0</v>
      </c>
      <c r="V74" s="80" t="str">
        <f t="shared" ref="V74:V105" si="24">IF(U$187=0,"",U74/U$187)</f>
        <v/>
      </c>
      <c r="W74" s="81" t="str">
        <f t="shared" ref="W74:W105" si="25">IF($K74=0,"",IF(NOT(ISNUMBER(T74)),R74,T74)/$K74-1)</f>
        <v/>
      </c>
      <c r="X74" s="78"/>
      <c r="Y74" s="73"/>
      <c r="Z74" s="79"/>
      <c r="AA74" s="75">
        <f t="shared" ref="AA74:AA105" si="26">IF(MID($D74,3,1)="-","*********",ROUND(IF(NOT(ISNUMBER($G74)),IF(NOT(ISNUMBER($F74)),1,$F74),$G74)*(IF(NOT(ISNUMBER(Z74)),X74,Z74)),2))</f>
        <v>0</v>
      </c>
      <c r="AB74" s="80" t="str">
        <f t="shared" ref="AB74:AB105" si="27">IF(AA$187=0,"",AA74/AA$187)</f>
        <v/>
      </c>
      <c r="AC74" s="81" t="str">
        <f t="shared" ref="AC74:AC105" si="28">IF($K74=0,"",IF(NOT(ISNUMBER(Z74)),X74,Z74)/$K74-1)</f>
        <v/>
      </c>
    </row>
    <row r="75" spans="1:29">
      <c r="A75" s="3">
        <f>A74+1</f>
        <v>26</v>
      </c>
      <c r="B75" s="83" t="str">
        <f>[1]!ArticleCode(Art_30.13.)</f>
        <v>30.13.</v>
      </c>
      <c r="C75" s="84" t="str">
        <f>[1]!ArticleDescription(Art_30.13.)</f>
        <v>houten dakstructuur – keperwerk hellende daken</v>
      </c>
      <c r="D75" s="73" t="str">
        <f>[1]!ArticleMeasureType(Art_30.13.)</f>
        <v>FH</v>
      </c>
      <c r="E75" s="73" t="str">
        <f>[1]!ArticleMeasureUnit(Art_30.13.)</f>
        <v>m2</v>
      </c>
      <c r="F75" s="92">
        <f>[1]!ArticleQuantity(Art_30.13.)</f>
        <v>29.76</v>
      </c>
      <c r="G75" s="73"/>
      <c r="H75" s="75"/>
      <c r="I75" s="75">
        <f>IF(RIGHT($D75,1)="-","************",ROUND(IF(NOT(ISNUMBER(G75)),IF(NOT(ISNUMBER(F75)),1,F75),G75)*H75,2))</f>
        <v>0</v>
      </c>
      <c r="J75" s="76"/>
      <c r="K75" s="77"/>
      <c r="L75" s="78"/>
      <c r="M75" s="73"/>
      <c r="N75" s="79"/>
      <c r="O75" s="75">
        <f t="shared" si="20"/>
        <v>0</v>
      </c>
      <c r="P75" s="80" t="str">
        <f t="shared" si="21"/>
        <v/>
      </c>
      <c r="Q75" s="81" t="str">
        <f t="shared" si="22"/>
        <v/>
      </c>
      <c r="R75" s="78"/>
      <c r="S75" s="73"/>
      <c r="T75" s="79"/>
      <c r="U75" s="75">
        <f t="shared" si="23"/>
        <v>0</v>
      </c>
      <c r="V75" s="80" t="str">
        <f t="shared" si="24"/>
        <v/>
      </c>
      <c r="W75" s="81" t="str">
        <f t="shared" si="25"/>
        <v/>
      </c>
      <c r="X75" s="78"/>
      <c r="Y75" s="73"/>
      <c r="Z75" s="79"/>
      <c r="AA75" s="75">
        <f t="shared" si="26"/>
        <v>0</v>
      </c>
      <c r="AB75" s="80" t="str">
        <f t="shared" si="27"/>
        <v/>
      </c>
      <c r="AC75" s="81" t="str">
        <f t="shared" si="28"/>
        <v/>
      </c>
    </row>
    <row r="76" spans="1:29">
      <c r="A76" s="3">
        <f>A75+1</f>
        <v>27</v>
      </c>
      <c r="B76" s="83" t="str">
        <f>[1]!ArticleCode(Art_30.14.)</f>
        <v>30.14.</v>
      </c>
      <c r="C76" s="84" t="str">
        <f>[1]!ArticleDescription(Art_30.14.)</f>
        <v>houten dakstructuur – keperwerk zijwanden</v>
      </c>
      <c r="D76" s="73" t="str">
        <f>[1]!ArticleMeasureType(Art_30.14.)</f>
        <v>FH</v>
      </c>
      <c r="E76" s="73" t="str">
        <f>[1]!ArticleMeasureUnit(Art_30.14.)</f>
        <v>m2</v>
      </c>
      <c r="F76" s="92">
        <f>[1]!ArticleQuantity(Art_30.14.)</f>
        <v>39.6</v>
      </c>
      <c r="G76" s="73"/>
      <c r="H76" s="75"/>
      <c r="I76" s="75">
        <f>IF(RIGHT($D76,1)="-","************",ROUND(IF(NOT(ISNUMBER(G76)),IF(NOT(ISNUMBER(F76)),1,F76),G76)*H76,2))</f>
        <v>0</v>
      </c>
      <c r="J76" s="76"/>
      <c r="K76" s="77"/>
      <c r="L76" s="78"/>
      <c r="M76" s="73"/>
      <c r="N76" s="79"/>
      <c r="O76" s="75">
        <f t="shared" si="20"/>
        <v>0</v>
      </c>
      <c r="P76" s="80" t="str">
        <f t="shared" si="21"/>
        <v/>
      </c>
      <c r="Q76" s="81" t="str">
        <f t="shared" si="22"/>
        <v/>
      </c>
      <c r="R76" s="78"/>
      <c r="S76" s="73"/>
      <c r="T76" s="79"/>
      <c r="U76" s="75">
        <f t="shared" si="23"/>
        <v>0</v>
      </c>
      <c r="V76" s="80" t="str">
        <f t="shared" si="24"/>
        <v/>
      </c>
      <c r="W76" s="81" t="str">
        <f t="shared" si="25"/>
        <v/>
      </c>
      <c r="X76" s="78"/>
      <c r="Y76" s="73"/>
      <c r="Z76" s="79"/>
      <c r="AA76" s="75">
        <f t="shared" si="26"/>
        <v>0</v>
      </c>
      <c r="AB76" s="80" t="str">
        <f t="shared" si="27"/>
        <v/>
      </c>
      <c r="AC76" s="81" t="str">
        <f t="shared" si="28"/>
        <v/>
      </c>
    </row>
    <row r="77" spans="1:29">
      <c r="A77" s="3"/>
      <c r="B77" s="83" t="str">
        <f>[1]!ArticleCode(Art_30.20.)</f>
        <v>30.20.</v>
      </c>
      <c r="C77" s="84" t="str">
        <f>[1]!ArticleDescription(Art_30.20.)</f>
        <v>onderdak - algemeen</v>
      </c>
      <c r="D77" s="73"/>
      <c r="E77" s="73"/>
      <c r="F77" s="73"/>
      <c r="G77" s="73"/>
      <c r="H77" s="75"/>
      <c r="I77" s="75"/>
      <c r="J77" s="76"/>
      <c r="K77" s="77"/>
      <c r="L77" s="78"/>
      <c r="M77" s="73"/>
      <c r="N77" s="79"/>
      <c r="O77" s="75">
        <f t="shared" si="20"/>
        <v>0</v>
      </c>
      <c r="P77" s="80" t="str">
        <f t="shared" si="21"/>
        <v/>
      </c>
      <c r="Q77" s="81" t="str">
        <f t="shared" si="22"/>
        <v/>
      </c>
      <c r="R77" s="78"/>
      <c r="S77" s="73"/>
      <c r="T77" s="79"/>
      <c r="U77" s="75">
        <f t="shared" si="23"/>
        <v>0</v>
      </c>
      <c r="V77" s="80" t="str">
        <f t="shared" si="24"/>
        <v/>
      </c>
      <c r="W77" s="81" t="str">
        <f t="shared" si="25"/>
        <v/>
      </c>
      <c r="X77" s="78"/>
      <c r="Y77" s="73"/>
      <c r="Z77" s="79"/>
      <c r="AA77" s="75">
        <f t="shared" si="26"/>
        <v>0</v>
      </c>
      <c r="AB77" s="80" t="str">
        <f t="shared" si="27"/>
        <v/>
      </c>
      <c r="AC77" s="81" t="str">
        <f t="shared" si="28"/>
        <v/>
      </c>
    </row>
    <row r="78" spans="1:29">
      <c r="A78" s="3">
        <f>A76+1</f>
        <v>28</v>
      </c>
      <c r="B78" s="83" t="str">
        <f>[1]!ArticleCode(Art_30.21.)</f>
        <v>30.21.</v>
      </c>
      <c r="C78" s="84" t="str">
        <f>[1]!ArticleDescription(Art_30.21.)</f>
        <v>onderdak - soepele membranen</v>
      </c>
      <c r="D78" s="73" t="str">
        <f>[1]!ArticleMeasureType(Art_30.21.)</f>
        <v>FH</v>
      </c>
      <c r="E78" s="73" t="str">
        <f>[1]!ArticleMeasureUnit(Art_30.21.)</f>
        <v>m2</v>
      </c>
      <c r="F78" s="92">
        <f>[1]!ArticleQuantity(Art_30.21.)</f>
        <v>20.82</v>
      </c>
      <c r="G78" s="73"/>
      <c r="H78" s="75"/>
      <c r="I78" s="75">
        <f>IF(RIGHT($D78,1)="-","************",ROUND(IF(NOT(ISNUMBER(G78)),IF(NOT(ISNUMBER(F78)),1,F78),G78)*H78,2))</f>
        <v>0</v>
      </c>
      <c r="J78" s="76"/>
      <c r="K78" s="77"/>
      <c r="L78" s="78"/>
      <c r="M78" s="73"/>
      <c r="N78" s="79"/>
      <c r="O78" s="75">
        <f t="shared" si="20"/>
        <v>0</v>
      </c>
      <c r="P78" s="80" t="str">
        <f t="shared" si="21"/>
        <v/>
      </c>
      <c r="Q78" s="81" t="str">
        <f t="shared" si="22"/>
        <v/>
      </c>
      <c r="R78" s="78"/>
      <c r="S78" s="73"/>
      <c r="T78" s="79"/>
      <c r="U78" s="75">
        <f t="shared" si="23"/>
        <v>0</v>
      </c>
      <c r="V78" s="80" t="str">
        <f t="shared" si="24"/>
        <v/>
      </c>
      <c r="W78" s="81" t="str">
        <f t="shared" si="25"/>
        <v/>
      </c>
      <c r="X78" s="78"/>
      <c r="Y78" s="73"/>
      <c r="Z78" s="79"/>
      <c r="AA78" s="75">
        <f t="shared" si="26"/>
        <v>0</v>
      </c>
      <c r="AB78" s="80" t="str">
        <f t="shared" si="27"/>
        <v/>
      </c>
      <c r="AC78" s="81" t="str">
        <f t="shared" si="28"/>
        <v/>
      </c>
    </row>
    <row r="79" spans="1:29">
      <c r="A79" s="3">
        <f>A78+1</f>
        <v>29</v>
      </c>
      <c r="B79" s="83" t="str">
        <f>[1]!ArticleCode(Art_30.30.)</f>
        <v>30.30.</v>
      </c>
      <c r="C79" s="84" t="str">
        <f>[1]!ArticleDescription(Art_30.30.)</f>
        <v>tengel- &amp; panlatten – algemeen</v>
      </c>
      <c r="D79" s="73" t="str">
        <f>[1]!ArticleMeasureType(Art_30.30.)</f>
        <v>PM</v>
      </c>
      <c r="E79" s="73" t="str">
        <f>[1]!ArticleMeasureUnit(Art_30.30.)</f>
        <v/>
      </c>
      <c r="F79" s="91" t="str">
        <f>[1]!ArticleQuantity(Art_30.30.)</f>
        <v/>
      </c>
      <c r="G79" s="73"/>
      <c r="H79" s="75"/>
      <c r="I79" s="75">
        <f>IF(RIGHT($D79,1)="-","************",ROUND(IF(NOT(ISNUMBER(G79)),IF(NOT(ISNUMBER(F79)),1,F79),G79)*H79,2))</f>
        <v>0</v>
      </c>
      <c r="J79" s="76"/>
      <c r="K79" s="77"/>
      <c r="L79" s="78"/>
      <c r="M79" s="73"/>
      <c r="N79" s="79"/>
      <c r="O79" s="75">
        <f t="shared" si="20"/>
        <v>0</v>
      </c>
      <c r="P79" s="80" t="str">
        <f t="shared" si="21"/>
        <v/>
      </c>
      <c r="Q79" s="81" t="str">
        <f t="shared" si="22"/>
        <v/>
      </c>
      <c r="R79" s="78"/>
      <c r="S79" s="73"/>
      <c r="T79" s="79"/>
      <c r="U79" s="75">
        <f t="shared" si="23"/>
        <v>0</v>
      </c>
      <c r="V79" s="80" t="str">
        <f t="shared" si="24"/>
        <v/>
      </c>
      <c r="W79" s="81" t="str">
        <f t="shared" si="25"/>
        <v/>
      </c>
      <c r="X79" s="78"/>
      <c r="Y79" s="73"/>
      <c r="Z79" s="79"/>
      <c r="AA79" s="75">
        <f t="shared" si="26"/>
        <v>0</v>
      </c>
      <c r="AB79" s="80" t="str">
        <f t="shared" si="27"/>
        <v/>
      </c>
      <c r="AC79" s="81" t="str">
        <f t="shared" si="28"/>
        <v/>
      </c>
    </row>
    <row r="80" spans="1:29">
      <c r="A80" s="3"/>
      <c r="B80" s="85"/>
      <c r="C80" s="86"/>
      <c r="D80" s="87"/>
      <c r="E80" s="86"/>
      <c r="F80" s="86"/>
      <c r="G80" s="86"/>
      <c r="H80" s="88"/>
      <c r="I80" s="88"/>
      <c r="J80" s="89">
        <f>SUBTOTAL(9,I69:I79)</f>
        <v>0</v>
      </c>
      <c r="K80" s="77"/>
      <c r="L80" s="78"/>
      <c r="M80" s="73"/>
      <c r="N80" s="79"/>
      <c r="O80" s="75">
        <f t="shared" si="20"/>
        <v>0</v>
      </c>
      <c r="P80" s="80" t="str">
        <f t="shared" si="21"/>
        <v/>
      </c>
      <c r="Q80" s="81" t="str">
        <f t="shared" si="22"/>
        <v/>
      </c>
      <c r="R80" s="78"/>
      <c r="S80" s="73"/>
      <c r="T80" s="79"/>
      <c r="U80" s="75">
        <f t="shared" si="23"/>
        <v>0</v>
      </c>
      <c r="V80" s="80" t="str">
        <f t="shared" si="24"/>
        <v/>
      </c>
      <c r="W80" s="81" t="str">
        <f t="shared" si="25"/>
        <v/>
      </c>
      <c r="X80" s="78"/>
      <c r="Y80" s="73"/>
      <c r="Z80" s="79"/>
      <c r="AA80" s="75">
        <f t="shared" si="26"/>
        <v>0</v>
      </c>
      <c r="AB80" s="80" t="str">
        <f t="shared" si="27"/>
        <v/>
      </c>
      <c r="AC80" s="81" t="str">
        <f t="shared" si="28"/>
        <v/>
      </c>
    </row>
    <row r="81" spans="1:29">
      <c r="A81" s="3"/>
      <c r="B81" s="90"/>
      <c r="C81" s="73"/>
      <c r="D81" s="73"/>
      <c r="E81" s="73"/>
      <c r="F81" s="73"/>
      <c r="G81" s="73"/>
      <c r="H81" s="75"/>
      <c r="I81" s="75"/>
      <c r="J81" s="76"/>
      <c r="K81" s="77"/>
      <c r="L81" s="78"/>
      <c r="M81" s="73"/>
      <c r="N81" s="79"/>
      <c r="O81" s="75">
        <f t="shared" si="20"/>
        <v>0</v>
      </c>
      <c r="P81" s="80" t="str">
        <f t="shared" si="21"/>
        <v/>
      </c>
      <c r="Q81" s="81" t="str">
        <f t="shared" si="22"/>
        <v/>
      </c>
      <c r="R81" s="78"/>
      <c r="S81" s="73"/>
      <c r="T81" s="79"/>
      <c r="U81" s="75">
        <f t="shared" si="23"/>
        <v>0</v>
      </c>
      <c r="V81" s="80" t="str">
        <f t="shared" si="24"/>
        <v/>
      </c>
      <c r="W81" s="81" t="str">
        <f t="shared" si="25"/>
        <v/>
      </c>
      <c r="X81" s="78"/>
      <c r="Y81" s="73"/>
      <c r="Z81" s="79"/>
      <c r="AA81" s="75">
        <f t="shared" si="26"/>
        <v>0</v>
      </c>
      <c r="AB81" s="80" t="str">
        <f t="shared" si="27"/>
        <v/>
      </c>
      <c r="AC81" s="81" t="str">
        <f t="shared" si="28"/>
        <v/>
      </c>
    </row>
    <row r="82" spans="1:29">
      <c r="A82" s="3"/>
      <c r="B82" s="72" t="s">
        <v>327</v>
      </c>
      <c r="C82" s="73"/>
      <c r="D82" s="74"/>
      <c r="E82" s="73"/>
      <c r="F82" s="73"/>
      <c r="G82" s="73"/>
      <c r="H82" s="75"/>
      <c r="I82" s="75"/>
      <c r="J82" s="76"/>
      <c r="K82" s="77"/>
      <c r="L82" s="78"/>
      <c r="M82" s="73"/>
      <c r="N82" s="79"/>
      <c r="O82" s="75">
        <f t="shared" si="20"/>
        <v>0</v>
      </c>
      <c r="P82" s="80" t="str">
        <f t="shared" si="21"/>
        <v/>
      </c>
      <c r="Q82" s="81" t="str">
        <f t="shared" si="22"/>
        <v/>
      </c>
      <c r="R82" s="78"/>
      <c r="S82" s="73"/>
      <c r="T82" s="79"/>
      <c r="U82" s="75">
        <f t="shared" si="23"/>
        <v>0</v>
      </c>
      <c r="V82" s="80" t="str">
        <f t="shared" si="24"/>
        <v/>
      </c>
      <c r="W82" s="81" t="str">
        <f t="shared" si="25"/>
        <v/>
      </c>
      <c r="X82" s="78"/>
      <c r="Y82" s="73"/>
      <c r="Z82" s="79"/>
      <c r="AA82" s="75">
        <f t="shared" si="26"/>
        <v>0</v>
      </c>
      <c r="AB82" s="80" t="str">
        <f t="shared" si="27"/>
        <v/>
      </c>
      <c r="AC82" s="81" t="str">
        <f t="shared" si="28"/>
        <v/>
      </c>
    </row>
    <row r="83" spans="1:29">
      <c r="A83" s="3"/>
      <c r="B83" s="83" t="str">
        <f>[1]!ArticleCode(Art_31.)</f>
        <v>31.</v>
      </c>
      <c r="C83" s="84" t="str">
        <f>[1]!ArticleDescription(Art_31.)</f>
        <v>THERMISCHE ISOLATIE HELLEND DAK</v>
      </c>
      <c r="D83" s="73"/>
      <c r="E83" s="73"/>
      <c r="F83" s="73"/>
      <c r="G83" s="73"/>
      <c r="H83" s="75"/>
      <c r="I83" s="75"/>
      <c r="J83" s="76"/>
      <c r="K83" s="77"/>
      <c r="L83" s="78"/>
      <c r="M83" s="73"/>
      <c r="N83" s="79"/>
      <c r="O83" s="75">
        <f t="shared" si="20"/>
        <v>0</v>
      </c>
      <c r="P83" s="80" t="str">
        <f t="shared" si="21"/>
        <v/>
      </c>
      <c r="Q83" s="81" t="str">
        <f t="shared" si="22"/>
        <v/>
      </c>
      <c r="R83" s="78"/>
      <c r="S83" s="73"/>
      <c r="T83" s="79"/>
      <c r="U83" s="75">
        <f t="shared" si="23"/>
        <v>0</v>
      </c>
      <c r="V83" s="80" t="str">
        <f t="shared" si="24"/>
        <v/>
      </c>
      <c r="W83" s="81" t="str">
        <f t="shared" si="25"/>
        <v/>
      </c>
      <c r="X83" s="78"/>
      <c r="Y83" s="73"/>
      <c r="Z83" s="79"/>
      <c r="AA83" s="75">
        <f t="shared" si="26"/>
        <v>0</v>
      </c>
      <c r="AB83" s="80" t="str">
        <f t="shared" si="27"/>
        <v/>
      </c>
      <c r="AC83" s="81" t="str">
        <f t="shared" si="28"/>
        <v/>
      </c>
    </row>
    <row r="84" spans="1:29">
      <c r="A84" s="3"/>
      <c r="B84" s="83" t="str">
        <f>[1]!ArticleCode(Art_31.00.)</f>
        <v>31.00.</v>
      </c>
      <c r="C84" s="84" t="str">
        <f>[1]!ArticleDescription(Art_31.00.)</f>
        <v>thermische isolatie hellend dak - algemeen</v>
      </c>
      <c r="D84" s="73"/>
      <c r="E84" s="73"/>
      <c r="F84" s="73"/>
      <c r="G84" s="73"/>
      <c r="H84" s="75"/>
      <c r="I84" s="75"/>
      <c r="J84" s="76"/>
      <c r="K84" s="77"/>
      <c r="L84" s="78"/>
      <c r="M84" s="73"/>
      <c r="N84" s="79"/>
      <c r="O84" s="75">
        <f t="shared" si="20"/>
        <v>0</v>
      </c>
      <c r="P84" s="80" t="str">
        <f t="shared" si="21"/>
        <v/>
      </c>
      <c r="Q84" s="81" t="str">
        <f t="shared" si="22"/>
        <v/>
      </c>
      <c r="R84" s="78"/>
      <c r="S84" s="73"/>
      <c r="T84" s="79"/>
      <c r="U84" s="75">
        <f t="shared" si="23"/>
        <v>0</v>
      </c>
      <c r="V84" s="80" t="str">
        <f t="shared" si="24"/>
        <v/>
      </c>
      <c r="W84" s="81" t="str">
        <f t="shared" si="25"/>
        <v/>
      </c>
      <c r="X84" s="78"/>
      <c r="Y84" s="73"/>
      <c r="Z84" s="79"/>
      <c r="AA84" s="75">
        <f t="shared" si="26"/>
        <v>0</v>
      </c>
      <c r="AB84" s="80" t="str">
        <f t="shared" si="27"/>
        <v/>
      </c>
      <c r="AC84" s="81" t="str">
        <f t="shared" si="28"/>
        <v/>
      </c>
    </row>
    <row r="85" spans="1:29">
      <c r="A85" s="3"/>
      <c r="B85" s="83" t="str">
        <f>[1]!ArticleCode(Art_31.10.)</f>
        <v>31.10.</v>
      </c>
      <c r="C85" s="84" t="str">
        <f>[1]!ArticleDescription(Art_31.10.)</f>
        <v>isolatiedekens tussen dakstructuur – algemeen</v>
      </c>
      <c r="D85" s="73"/>
      <c r="E85" s="73"/>
      <c r="F85" s="73"/>
      <c r="G85" s="73"/>
      <c r="H85" s="75"/>
      <c r="I85" s="75"/>
      <c r="J85" s="76"/>
      <c r="K85" s="77"/>
      <c r="L85" s="78"/>
      <c r="M85" s="73"/>
      <c r="N85" s="79"/>
      <c r="O85" s="75">
        <f t="shared" si="20"/>
        <v>0</v>
      </c>
      <c r="P85" s="80" t="str">
        <f t="shared" si="21"/>
        <v/>
      </c>
      <c r="Q85" s="81" t="str">
        <f t="shared" si="22"/>
        <v/>
      </c>
      <c r="R85" s="78"/>
      <c r="S85" s="73"/>
      <c r="T85" s="79"/>
      <c r="U85" s="75">
        <f t="shared" si="23"/>
        <v>0</v>
      </c>
      <c r="V85" s="80" t="str">
        <f t="shared" si="24"/>
        <v/>
      </c>
      <c r="W85" s="81" t="str">
        <f t="shared" si="25"/>
        <v/>
      </c>
      <c r="X85" s="78"/>
      <c r="Y85" s="73"/>
      <c r="Z85" s="79"/>
      <c r="AA85" s="75">
        <f t="shared" si="26"/>
        <v>0</v>
      </c>
      <c r="AB85" s="80" t="str">
        <f t="shared" si="27"/>
        <v/>
      </c>
      <c r="AC85" s="81" t="str">
        <f t="shared" si="28"/>
        <v/>
      </c>
    </row>
    <row r="86" spans="1:29">
      <c r="A86" s="3"/>
      <c r="B86" s="83" t="str">
        <f>[1]!ArticleCode(Art_31.11.)</f>
        <v>31.11.</v>
      </c>
      <c r="C86" s="84" t="str">
        <f>[1]!ArticleDescription(Art_31.11.)</f>
        <v>isolatiedekens tussen dakstructuur – MW (enkel levering)</v>
      </c>
      <c r="D86" s="73"/>
      <c r="E86" s="73"/>
      <c r="F86" s="73"/>
      <c r="G86" s="73"/>
      <c r="H86" s="75"/>
      <c r="I86" s="75"/>
      <c r="J86" s="76"/>
      <c r="K86" s="77"/>
      <c r="L86" s="78"/>
      <c r="M86" s="73"/>
      <c r="N86" s="79"/>
      <c r="O86" s="75">
        <f t="shared" si="20"/>
        <v>0</v>
      </c>
      <c r="P86" s="80" t="str">
        <f t="shared" si="21"/>
        <v/>
      </c>
      <c r="Q86" s="81" t="str">
        <f t="shared" si="22"/>
        <v/>
      </c>
      <c r="R86" s="78"/>
      <c r="S86" s="73"/>
      <c r="T86" s="79"/>
      <c r="U86" s="75">
        <f t="shared" si="23"/>
        <v>0</v>
      </c>
      <c r="V86" s="80" t="str">
        <f t="shared" si="24"/>
        <v/>
      </c>
      <c r="W86" s="81" t="str">
        <f t="shared" si="25"/>
        <v/>
      </c>
      <c r="X86" s="78"/>
      <c r="Y86" s="73"/>
      <c r="Z86" s="79"/>
      <c r="AA86" s="75">
        <f t="shared" si="26"/>
        <v>0</v>
      </c>
      <c r="AB86" s="80" t="str">
        <f t="shared" si="27"/>
        <v/>
      </c>
      <c r="AC86" s="81" t="str">
        <f t="shared" si="28"/>
        <v/>
      </c>
    </row>
    <row r="87" spans="1:29">
      <c r="A87" s="3">
        <f>A79+1</f>
        <v>30</v>
      </c>
      <c r="B87" s="83" t="str">
        <f>[1]!ArticleCode(Art_31.11.10.)</f>
        <v>31.11.10.</v>
      </c>
      <c r="C87" s="84" t="str">
        <f>[1]!ArticleDescription(Art_31.11.10.)</f>
        <v>isolatiedekens tussen dakstructuur – MW/18 cm (enkel levering)</v>
      </c>
      <c r="D87" s="73" t="str">
        <f>[1]!ArticleMeasureType(Art_31.11.10.)</f>
        <v>FH</v>
      </c>
      <c r="E87" s="73" t="str">
        <f>[1]!ArticleMeasureUnit(Art_31.11.10.)</f>
        <v>m2</v>
      </c>
      <c r="F87" s="92">
        <f>[1]!ArticleQuantity(Art_31.11.10.)</f>
        <v>271.62</v>
      </c>
      <c r="G87" s="73"/>
      <c r="H87" s="75"/>
      <c r="I87" s="75">
        <f>IF(RIGHT($D87,1)="-","************",ROUND(IF(NOT(ISNUMBER(G87)),IF(NOT(ISNUMBER(F87)),1,F87),G87)*H87,2))</f>
        <v>0</v>
      </c>
      <c r="J87" s="76"/>
      <c r="K87" s="77"/>
      <c r="L87" s="78"/>
      <c r="M87" s="73"/>
      <c r="N87" s="79"/>
      <c r="O87" s="75">
        <f t="shared" si="20"/>
        <v>0</v>
      </c>
      <c r="P87" s="80" t="str">
        <f t="shared" si="21"/>
        <v/>
      </c>
      <c r="Q87" s="81" t="str">
        <f t="shared" si="22"/>
        <v/>
      </c>
      <c r="R87" s="78"/>
      <c r="S87" s="73"/>
      <c r="T87" s="79"/>
      <c r="U87" s="75">
        <f t="shared" si="23"/>
        <v>0</v>
      </c>
      <c r="V87" s="80" t="str">
        <f t="shared" si="24"/>
        <v/>
      </c>
      <c r="W87" s="81" t="str">
        <f t="shared" si="25"/>
        <v/>
      </c>
      <c r="X87" s="78"/>
      <c r="Y87" s="73"/>
      <c r="Z87" s="79"/>
      <c r="AA87" s="75">
        <f t="shared" si="26"/>
        <v>0</v>
      </c>
      <c r="AB87" s="80" t="str">
        <f t="shared" si="27"/>
        <v/>
      </c>
      <c r="AC87" s="81" t="str">
        <f t="shared" si="28"/>
        <v/>
      </c>
    </row>
    <row r="88" spans="1:29">
      <c r="A88" s="3">
        <f>A87+1</f>
        <v>31</v>
      </c>
      <c r="B88" s="83" t="str">
        <f>[1]!ArticleCode(Art_31.11.20.)</f>
        <v>31.11.20.</v>
      </c>
      <c r="C88" s="84" t="str">
        <f>[1]!ArticleDescription(Art_31.11.20.)</f>
        <v>isolatiedekens tussen wandstructuur– MW/15 cm (enkel levering)</v>
      </c>
      <c r="D88" s="73" t="str">
        <f>[1]!ArticleMeasureType(Art_31.11.20.)</f>
        <v>FH</v>
      </c>
      <c r="E88" s="73" t="str">
        <f>[1]!ArticleMeasureUnit(Art_31.11.20.)</f>
        <v>m2</v>
      </c>
      <c r="F88" s="92">
        <f>[1]!ArticleQuantity(Art_31.11.20.)</f>
        <v>39.6</v>
      </c>
      <c r="G88" s="73"/>
      <c r="H88" s="75"/>
      <c r="I88" s="75">
        <f>IF(RIGHT($D88,1)="-","************",ROUND(IF(NOT(ISNUMBER(G88)),IF(NOT(ISNUMBER(F88)),1,F88),G88)*H88,2))</f>
        <v>0</v>
      </c>
      <c r="J88" s="76"/>
      <c r="K88" s="77"/>
      <c r="L88" s="78"/>
      <c r="M88" s="73"/>
      <c r="N88" s="79"/>
      <c r="O88" s="75">
        <f t="shared" si="20"/>
        <v>0</v>
      </c>
      <c r="P88" s="80" t="str">
        <f t="shared" si="21"/>
        <v/>
      </c>
      <c r="Q88" s="81" t="str">
        <f t="shared" si="22"/>
        <v/>
      </c>
      <c r="R88" s="78"/>
      <c r="S88" s="73"/>
      <c r="T88" s="79"/>
      <c r="U88" s="75">
        <f t="shared" si="23"/>
        <v>0</v>
      </c>
      <c r="V88" s="80" t="str">
        <f t="shared" si="24"/>
        <v/>
      </c>
      <c r="W88" s="81" t="str">
        <f t="shared" si="25"/>
        <v/>
      </c>
      <c r="X88" s="78"/>
      <c r="Y88" s="73"/>
      <c r="Z88" s="79"/>
      <c r="AA88" s="75">
        <f t="shared" si="26"/>
        <v>0</v>
      </c>
      <c r="AB88" s="80" t="str">
        <f t="shared" si="27"/>
        <v/>
      </c>
      <c r="AC88" s="81" t="str">
        <f t="shared" si="28"/>
        <v/>
      </c>
    </row>
    <row r="89" spans="1:29">
      <c r="A89" s="3"/>
      <c r="B89" s="83" t="str">
        <f>[1]!ArticleCode(Art_31.40.)</f>
        <v>31.40.</v>
      </c>
      <c r="C89" s="84" t="str">
        <f>[1]!ArticleDescription(Art_31.40.)</f>
        <v>binnenfolie - algemeen</v>
      </c>
      <c r="D89" s="73"/>
      <c r="E89" s="73"/>
      <c r="F89" s="73"/>
      <c r="G89" s="73"/>
      <c r="H89" s="75"/>
      <c r="I89" s="75"/>
      <c r="J89" s="76"/>
      <c r="K89" s="77"/>
      <c r="L89" s="78"/>
      <c r="M89" s="73"/>
      <c r="N89" s="79"/>
      <c r="O89" s="75">
        <f t="shared" si="20"/>
        <v>0</v>
      </c>
      <c r="P89" s="80" t="str">
        <f t="shared" si="21"/>
        <v/>
      </c>
      <c r="Q89" s="81" t="str">
        <f t="shared" si="22"/>
        <v/>
      </c>
      <c r="R89" s="78"/>
      <c r="S89" s="73"/>
      <c r="T89" s="79"/>
      <c r="U89" s="75">
        <f t="shared" si="23"/>
        <v>0</v>
      </c>
      <c r="V89" s="80" t="str">
        <f t="shared" si="24"/>
        <v/>
      </c>
      <c r="W89" s="81" t="str">
        <f t="shared" si="25"/>
        <v/>
      </c>
      <c r="X89" s="78"/>
      <c r="Y89" s="73"/>
      <c r="Z89" s="79"/>
      <c r="AA89" s="75">
        <f t="shared" si="26"/>
        <v>0</v>
      </c>
      <c r="AB89" s="80" t="str">
        <f t="shared" si="27"/>
        <v/>
      </c>
      <c r="AC89" s="81" t="str">
        <f t="shared" si="28"/>
        <v/>
      </c>
    </row>
    <row r="90" spans="1:29">
      <c r="A90" s="3">
        <f>A88+1</f>
        <v>32</v>
      </c>
      <c r="B90" s="83" t="str">
        <f>[1]!ArticleCode(Art_31.42.)</f>
        <v>31.42.</v>
      </c>
      <c r="C90" s="84" t="str">
        <f>[1]!ArticleDescription(Art_31.42.)</f>
        <v>binnenfolie – dampscherm (enkel levering)</v>
      </c>
      <c r="D90" s="73" t="str">
        <f>[1]!ArticleMeasureType(Art_31.42.)</f>
        <v>FH</v>
      </c>
      <c r="E90" s="73" t="str">
        <f>[1]!ArticleMeasureUnit(Art_31.42.)</f>
        <v>m2</v>
      </c>
      <c r="F90" s="92">
        <f>[1]!ArticleQuantity(Art_31.42.)</f>
        <v>311.22000000000003</v>
      </c>
      <c r="G90" s="73"/>
      <c r="H90" s="75"/>
      <c r="I90" s="75">
        <f>IF(RIGHT($D90,1)="-","************",ROUND(IF(NOT(ISNUMBER(G90)),IF(NOT(ISNUMBER(F90)),1,F90),G90)*H90,2))</f>
        <v>0</v>
      </c>
      <c r="J90" s="76"/>
      <c r="K90" s="77"/>
      <c r="L90" s="78"/>
      <c r="M90" s="73"/>
      <c r="N90" s="79"/>
      <c r="O90" s="75">
        <f t="shared" si="20"/>
        <v>0</v>
      </c>
      <c r="P90" s="80" t="str">
        <f t="shared" si="21"/>
        <v/>
      </c>
      <c r="Q90" s="81" t="str">
        <f t="shared" si="22"/>
        <v/>
      </c>
      <c r="R90" s="78"/>
      <c r="S90" s="73"/>
      <c r="T90" s="79"/>
      <c r="U90" s="75">
        <f t="shared" si="23"/>
        <v>0</v>
      </c>
      <c r="V90" s="80" t="str">
        <f t="shared" si="24"/>
        <v/>
      </c>
      <c r="W90" s="81" t="str">
        <f t="shared" si="25"/>
        <v/>
      </c>
      <c r="X90" s="78"/>
      <c r="Y90" s="73"/>
      <c r="Z90" s="79"/>
      <c r="AA90" s="75">
        <f t="shared" si="26"/>
        <v>0</v>
      </c>
      <c r="AB90" s="80" t="str">
        <f t="shared" si="27"/>
        <v/>
      </c>
      <c r="AC90" s="81" t="str">
        <f t="shared" si="28"/>
        <v/>
      </c>
    </row>
    <row r="91" spans="1:29">
      <c r="A91" s="3"/>
      <c r="B91" s="85"/>
      <c r="C91" s="86"/>
      <c r="D91" s="87"/>
      <c r="E91" s="86"/>
      <c r="F91" s="86"/>
      <c r="G91" s="86"/>
      <c r="H91" s="88"/>
      <c r="I91" s="88"/>
      <c r="J91" s="89">
        <f>SUBTOTAL(9,I83:I90)</f>
        <v>0</v>
      </c>
      <c r="K91" s="77"/>
      <c r="L91" s="78"/>
      <c r="M91" s="73"/>
      <c r="N91" s="79"/>
      <c r="O91" s="75">
        <f t="shared" si="20"/>
        <v>0</v>
      </c>
      <c r="P91" s="80" t="str">
        <f t="shared" si="21"/>
        <v/>
      </c>
      <c r="Q91" s="81" t="str">
        <f t="shared" si="22"/>
        <v/>
      </c>
      <c r="R91" s="78"/>
      <c r="S91" s="73"/>
      <c r="T91" s="79"/>
      <c r="U91" s="75">
        <f t="shared" si="23"/>
        <v>0</v>
      </c>
      <c r="V91" s="80" t="str">
        <f t="shared" si="24"/>
        <v/>
      </c>
      <c r="W91" s="81" t="str">
        <f t="shared" si="25"/>
        <v/>
      </c>
      <c r="X91" s="78"/>
      <c r="Y91" s="73"/>
      <c r="Z91" s="79"/>
      <c r="AA91" s="75">
        <f t="shared" si="26"/>
        <v>0</v>
      </c>
      <c r="AB91" s="80" t="str">
        <f t="shared" si="27"/>
        <v/>
      </c>
      <c r="AC91" s="81" t="str">
        <f t="shared" si="28"/>
        <v/>
      </c>
    </row>
    <row r="92" spans="1:29">
      <c r="A92" s="3"/>
      <c r="B92" s="90"/>
      <c r="C92" s="73"/>
      <c r="D92" s="73"/>
      <c r="E92" s="73"/>
      <c r="F92" s="73"/>
      <c r="G92" s="73"/>
      <c r="H92" s="75"/>
      <c r="I92" s="75"/>
      <c r="J92" s="76"/>
      <c r="K92" s="77"/>
      <c r="L92" s="78"/>
      <c r="M92" s="73"/>
      <c r="N92" s="79"/>
      <c r="O92" s="75">
        <f t="shared" si="20"/>
        <v>0</v>
      </c>
      <c r="P92" s="80" t="str">
        <f t="shared" si="21"/>
        <v/>
      </c>
      <c r="Q92" s="81" t="str">
        <f t="shared" si="22"/>
        <v/>
      </c>
      <c r="R92" s="78"/>
      <c r="S92" s="73"/>
      <c r="T92" s="79"/>
      <c r="U92" s="75">
        <f t="shared" si="23"/>
        <v>0</v>
      </c>
      <c r="V92" s="80" t="str">
        <f t="shared" si="24"/>
        <v/>
      </c>
      <c r="W92" s="81" t="str">
        <f t="shared" si="25"/>
        <v/>
      </c>
      <c r="X92" s="78"/>
      <c r="Y92" s="73"/>
      <c r="Z92" s="79"/>
      <c r="AA92" s="75">
        <f t="shared" si="26"/>
        <v>0</v>
      </c>
      <c r="AB92" s="80" t="str">
        <f t="shared" si="27"/>
        <v/>
      </c>
      <c r="AC92" s="81" t="str">
        <f t="shared" si="28"/>
        <v/>
      </c>
    </row>
    <row r="93" spans="1:29">
      <c r="A93" s="3"/>
      <c r="B93" s="72" t="s">
        <v>328</v>
      </c>
      <c r="C93" s="73"/>
      <c r="D93" s="74"/>
      <c r="E93" s="73"/>
      <c r="F93" s="73"/>
      <c r="G93" s="73"/>
      <c r="H93" s="75"/>
      <c r="I93" s="75"/>
      <c r="J93" s="76"/>
      <c r="K93" s="77"/>
      <c r="L93" s="78"/>
      <c r="M93" s="73"/>
      <c r="N93" s="79"/>
      <c r="O93" s="75">
        <f t="shared" si="20"/>
        <v>0</v>
      </c>
      <c r="P93" s="80" t="str">
        <f t="shared" si="21"/>
        <v/>
      </c>
      <c r="Q93" s="81" t="str">
        <f t="shared" si="22"/>
        <v/>
      </c>
      <c r="R93" s="78"/>
      <c r="S93" s="73"/>
      <c r="T93" s="79"/>
      <c r="U93" s="75">
        <f t="shared" si="23"/>
        <v>0</v>
      </c>
      <c r="V93" s="80" t="str">
        <f t="shared" si="24"/>
        <v/>
      </c>
      <c r="W93" s="81" t="str">
        <f t="shared" si="25"/>
        <v/>
      </c>
      <c r="X93" s="78"/>
      <c r="Y93" s="73"/>
      <c r="Z93" s="79"/>
      <c r="AA93" s="75">
        <f t="shared" si="26"/>
        <v>0</v>
      </c>
      <c r="AB93" s="80" t="str">
        <f t="shared" si="27"/>
        <v/>
      </c>
      <c r="AC93" s="81" t="str">
        <f t="shared" si="28"/>
        <v/>
      </c>
    </row>
    <row r="94" spans="1:29">
      <c r="A94" s="3"/>
      <c r="B94" s="83" t="str">
        <f>[1]!ArticleCode(Art_32.)</f>
        <v>32.</v>
      </c>
      <c r="C94" s="84" t="str">
        <f>[1]!ArticleDescription(Art_32.)</f>
        <v>DAKBEDEKKING HELLEND DAK</v>
      </c>
      <c r="D94" s="73"/>
      <c r="E94" s="73"/>
      <c r="F94" s="73"/>
      <c r="G94" s="73"/>
      <c r="H94" s="75"/>
      <c r="I94" s="75"/>
      <c r="J94" s="76"/>
      <c r="K94" s="77"/>
      <c r="L94" s="78"/>
      <c r="M94" s="73"/>
      <c r="N94" s="79"/>
      <c r="O94" s="75">
        <f t="shared" si="20"/>
        <v>0</v>
      </c>
      <c r="P94" s="80" t="str">
        <f t="shared" si="21"/>
        <v/>
      </c>
      <c r="Q94" s="81" t="str">
        <f t="shared" si="22"/>
        <v/>
      </c>
      <c r="R94" s="78"/>
      <c r="S94" s="73"/>
      <c r="T94" s="79"/>
      <c r="U94" s="75">
        <f t="shared" si="23"/>
        <v>0</v>
      </c>
      <c r="V94" s="80" t="str">
        <f t="shared" si="24"/>
        <v/>
      </c>
      <c r="W94" s="81" t="str">
        <f t="shared" si="25"/>
        <v/>
      </c>
      <c r="X94" s="78"/>
      <c r="Y94" s="73"/>
      <c r="Z94" s="79"/>
      <c r="AA94" s="75">
        <f t="shared" si="26"/>
        <v>0</v>
      </c>
      <c r="AB94" s="80" t="str">
        <f t="shared" si="27"/>
        <v/>
      </c>
      <c r="AC94" s="81" t="str">
        <f t="shared" si="28"/>
        <v/>
      </c>
    </row>
    <row r="95" spans="1:29">
      <c r="A95" s="3"/>
      <c r="B95" s="83" t="str">
        <f>[1]!ArticleCode(Art_32.00.)</f>
        <v>32.00.</v>
      </c>
      <c r="C95" s="84" t="str">
        <f>[1]!ArticleDescription(Art_32.00.)</f>
        <v>dakbedekking hellend dak - algemeen</v>
      </c>
      <c r="D95" s="73"/>
      <c r="E95" s="73"/>
      <c r="F95" s="73"/>
      <c r="G95" s="73"/>
      <c r="H95" s="75"/>
      <c r="I95" s="75"/>
      <c r="J95" s="76"/>
      <c r="K95" s="77"/>
      <c r="L95" s="78"/>
      <c r="M95" s="73"/>
      <c r="N95" s="79"/>
      <c r="O95" s="75">
        <f t="shared" si="20"/>
        <v>0</v>
      </c>
      <c r="P95" s="80" t="str">
        <f t="shared" si="21"/>
        <v/>
      </c>
      <c r="Q95" s="81" t="str">
        <f t="shared" si="22"/>
        <v/>
      </c>
      <c r="R95" s="78"/>
      <c r="S95" s="73"/>
      <c r="T95" s="79"/>
      <c r="U95" s="75">
        <f t="shared" si="23"/>
        <v>0</v>
      </c>
      <c r="V95" s="80" t="str">
        <f t="shared" si="24"/>
        <v/>
      </c>
      <c r="W95" s="81" t="str">
        <f t="shared" si="25"/>
        <v/>
      </c>
      <c r="X95" s="78"/>
      <c r="Y95" s="73"/>
      <c r="Z95" s="79"/>
      <c r="AA95" s="75">
        <f t="shared" si="26"/>
        <v>0</v>
      </c>
      <c r="AB95" s="80" t="str">
        <f t="shared" si="27"/>
        <v/>
      </c>
      <c r="AC95" s="81" t="str">
        <f t="shared" si="28"/>
        <v/>
      </c>
    </row>
    <row r="96" spans="1:29">
      <c r="A96" s="3"/>
      <c r="B96" s="83" t="str">
        <f>[1]!ArticleCode(Art_32.01.)</f>
        <v>32.01.</v>
      </c>
      <c r="C96" s="84" t="str">
        <f>[1]!ArticleDescription(Art_32.01.)</f>
        <v>dakbedekking hellend dak - prestaties</v>
      </c>
      <c r="D96" s="73"/>
      <c r="E96" s="73"/>
      <c r="F96" s="73"/>
      <c r="G96" s="73"/>
      <c r="H96" s="75"/>
      <c r="I96" s="75"/>
      <c r="J96" s="76"/>
      <c r="K96" s="77"/>
      <c r="L96" s="78"/>
      <c r="M96" s="73"/>
      <c r="N96" s="79"/>
      <c r="O96" s="75">
        <f t="shared" si="20"/>
        <v>0</v>
      </c>
      <c r="P96" s="80" t="str">
        <f t="shared" si="21"/>
        <v/>
      </c>
      <c r="Q96" s="81" t="str">
        <f t="shared" si="22"/>
        <v/>
      </c>
      <c r="R96" s="78"/>
      <c r="S96" s="73"/>
      <c r="T96" s="79"/>
      <c r="U96" s="75">
        <f t="shared" si="23"/>
        <v>0</v>
      </c>
      <c r="V96" s="80" t="str">
        <f t="shared" si="24"/>
        <v/>
      </c>
      <c r="W96" s="81" t="str">
        <f t="shared" si="25"/>
        <v/>
      </c>
      <c r="X96" s="78"/>
      <c r="Y96" s="73"/>
      <c r="Z96" s="79"/>
      <c r="AA96" s="75">
        <f t="shared" si="26"/>
        <v>0</v>
      </c>
      <c r="AB96" s="80" t="str">
        <f t="shared" si="27"/>
        <v/>
      </c>
      <c r="AC96" s="81" t="str">
        <f t="shared" si="28"/>
        <v/>
      </c>
    </row>
    <row r="97" spans="1:29">
      <c r="A97" s="3"/>
      <c r="B97" s="83" t="str">
        <f>[1]!ArticleCode(Art_32.10.)</f>
        <v>32.10.</v>
      </c>
      <c r="C97" s="84" t="str">
        <f>[1]!ArticleDescription(Art_32.10.)</f>
        <v>pannen - algemeen</v>
      </c>
      <c r="D97" s="73"/>
      <c r="E97" s="73"/>
      <c r="F97" s="73"/>
      <c r="G97" s="73"/>
      <c r="H97" s="75"/>
      <c r="I97" s="75"/>
      <c r="J97" s="76"/>
      <c r="K97" s="77"/>
      <c r="L97" s="78"/>
      <c r="M97" s="73"/>
      <c r="N97" s="79"/>
      <c r="O97" s="75">
        <f t="shared" si="20"/>
        <v>0</v>
      </c>
      <c r="P97" s="80" t="str">
        <f t="shared" si="21"/>
        <v/>
      </c>
      <c r="Q97" s="81" t="str">
        <f t="shared" si="22"/>
        <v/>
      </c>
      <c r="R97" s="78"/>
      <c r="S97" s="73"/>
      <c r="T97" s="79"/>
      <c r="U97" s="75">
        <f t="shared" si="23"/>
        <v>0</v>
      </c>
      <c r="V97" s="80" t="str">
        <f t="shared" si="24"/>
        <v/>
      </c>
      <c r="W97" s="81" t="str">
        <f t="shared" si="25"/>
        <v/>
      </c>
      <c r="X97" s="78"/>
      <c r="Y97" s="73"/>
      <c r="Z97" s="79"/>
      <c r="AA97" s="75">
        <f t="shared" si="26"/>
        <v>0</v>
      </c>
      <c r="AB97" s="80" t="str">
        <f t="shared" si="27"/>
        <v/>
      </c>
      <c r="AC97" s="81" t="str">
        <f t="shared" si="28"/>
        <v/>
      </c>
    </row>
    <row r="98" spans="1:29">
      <c r="A98" s="3"/>
      <c r="B98" s="83" t="str">
        <f>[1]!ArticleCode(Art_32.11.)</f>
        <v>32.11.</v>
      </c>
      <c r="C98" s="84" t="str">
        <f>[1]!ArticleDescription(Art_32.11.)</f>
        <v>pannen - gebakken aarde (recup)</v>
      </c>
      <c r="D98" s="73" t="str">
        <f>[1]!ArticleMeasureType(Art_32.11.)</f>
        <v/>
      </c>
      <c r="E98" s="73" t="str">
        <f>[1]!ArticleMeasureUnit(Art_32.11.)</f>
        <v/>
      </c>
      <c r="F98" s="92" t="str">
        <f>[1]!ArticleQuantity(Art_32.11.)</f>
        <v/>
      </c>
      <c r="G98" s="73"/>
      <c r="H98" s="75"/>
      <c r="I98" s="75"/>
      <c r="J98" s="76"/>
      <c r="K98" s="77"/>
      <c r="L98" s="78"/>
      <c r="M98" s="73"/>
      <c r="N98" s="79"/>
      <c r="O98" s="75">
        <f t="shared" si="20"/>
        <v>0</v>
      </c>
      <c r="P98" s="80" t="str">
        <f t="shared" si="21"/>
        <v/>
      </c>
      <c r="Q98" s="81" t="str">
        <f t="shared" si="22"/>
        <v/>
      </c>
      <c r="R98" s="78"/>
      <c r="S98" s="73"/>
      <c r="T98" s="79"/>
      <c r="U98" s="75">
        <f t="shared" si="23"/>
        <v>0</v>
      </c>
      <c r="V98" s="80" t="str">
        <f t="shared" si="24"/>
        <v/>
      </c>
      <c r="W98" s="81" t="str">
        <f t="shared" si="25"/>
        <v/>
      </c>
      <c r="X98" s="78"/>
      <c r="Y98" s="73"/>
      <c r="Z98" s="79"/>
      <c r="AA98" s="75">
        <f t="shared" si="26"/>
        <v>0</v>
      </c>
      <c r="AB98" s="80" t="str">
        <f t="shared" si="27"/>
        <v/>
      </c>
      <c r="AC98" s="81" t="str">
        <f t="shared" si="28"/>
        <v/>
      </c>
    </row>
    <row r="99" spans="1:29">
      <c r="A99" s="3">
        <f>A90+1</f>
        <v>33</v>
      </c>
      <c r="B99" s="83" t="str">
        <f>[1]!ArticleCode(Art_32.11.10.)</f>
        <v>32.11.10.</v>
      </c>
      <c r="C99" s="84" t="str">
        <f>[1]!ArticleDescription(Art_32.11.10.)</f>
        <v>pannen - gebakken aarde/dakvlak</v>
      </c>
      <c r="D99" s="73" t="str">
        <f>[1]!ArticleMeasureType(Art_32.11.10.)</f>
        <v>FH</v>
      </c>
      <c r="E99" s="73" t="str">
        <f>[1]!ArticleMeasureUnit(Art_32.11.10.)</f>
        <v>m2</v>
      </c>
      <c r="F99" s="92">
        <f>[1]!ArticleQuantity(Art_32.11.10.)</f>
        <v>20.82</v>
      </c>
      <c r="G99" s="73"/>
      <c r="H99" s="75"/>
      <c r="I99" s="75">
        <f>IF(RIGHT($D99,1)="-","************",ROUND(IF(NOT(ISNUMBER(G99)),IF(NOT(ISNUMBER(F99)),1,F99),G99)*H99,2))</f>
        <v>0</v>
      </c>
      <c r="J99" s="76"/>
      <c r="K99" s="77"/>
      <c r="L99" s="78"/>
      <c r="M99" s="73"/>
      <c r="N99" s="79"/>
      <c r="O99" s="75">
        <f t="shared" si="20"/>
        <v>0</v>
      </c>
      <c r="P99" s="80" t="str">
        <f t="shared" si="21"/>
        <v/>
      </c>
      <c r="Q99" s="81" t="str">
        <f t="shared" si="22"/>
        <v/>
      </c>
      <c r="R99" s="78"/>
      <c r="S99" s="73"/>
      <c r="T99" s="79"/>
      <c r="U99" s="75">
        <f t="shared" si="23"/>
        <v>0</v>
      </c>
      <c r="V99" s="80" t="str">
        <f t="shared" si="24"/>
        <v/>
      </c>
      <c r="W99" s="81" t="str">
        <f t="shared" si="25"/>
        <v/>
      </c>
      <c r="X99" s="78"/>
      <c r="Y99" s="73"/>
      <c r="Z99" s="79"/>
      <c r="AA99" s="75">
        <f t="shared" si="26"/>
        <v>0</v>
      </c>
      <c r="AB99" s="80" t="str">
        <f t="shared" si="27"/>
        <v/>
      </c>
      <c r="AC99" s="81" t="str">
        <f t="shared" si="28"/>
        <v/>
      </c>
    </row>
    <row r="100" spans="1:29">
      <c r="A100" s="3">
        <f>A99+1</f>
        <v>34</v>
      </c>
      <c r="B100" s="83" t="str">
        <f>[1]!ArticleCode(Art_32.11.20.)</f>
        <v>32.11.20.</v>
      </c>
      <c r="C100" s="84" t="str">
        <f>[1]!ArticleDescription(Art_32.11.20.)</f>
        <v>pannen - gebakken aarde/vormstukken - zijpannen</v>
      </c>
      <c r="D100" s="73" t="str">
        <f>[1]!ArticleMeasureType(Art_32.11.20.)</f>
        <v>FH</v>
      </c>
      <c r="E100" s="73" t="str">
        <f>[1]!ArticleMeasureUnit(Art_32.11.20.)</f>
        <v>m</v>
      </c>
      <c r="F100" s="92">
        <f>[1]!ArticleQuantity(Art_32.11.20.)</f>
        <v>37.92</v>
      </c>
      <c r="G100" s="73"/>
      <c r="H100" s="75"/>
      <c r="I100" s="75">
        <f>IF(RIGHT($D100,1)="-","************",ROUND(IF(NOT(ISNUMBER(G100)),IF(NOT(ISNUMBER(F100)),1,F100),G100)*H100,2))</f>
        <v>0</v>
      </c>
      <c r="J100" s="76"/>
      <c r="K100" s="77"/>
      <c r="L100" s="78"/>
      <c r="M100" s="73"/>
      <c r="N100" s="79"/>
      <c r="O100" s="75">
        <f t="shared" si="20"/>
        <v>0</v>
      </c>
      <c r="P100" s="80" t="str">
        <f t="shared" si="21"/>
        <v/>
      </c>
      <c r="Q100" s="81" t="str">
        <f t="shared" si="22"/>
        <v/>
      </c>
      <c r="R100" s="78"/>
      <c r="S100" s="73"/>
      <c r="T100" s="79"/>
      <c r="U100" s="75">
        <f t="shared" si="23"/>
        <v>0</v>
      </c>
      <c r="V100" s="80" t="str">
        <f t="shared" si="24"/>
        <v/>
      </c>
      <c r="W100" s="81" t="str">
        <f t="shared" si="25"/>
        <v/>
      </c>
      <c r="X100" s="78"/>
      <c r="Y100" s="73"/>
      <c r="Z100" s="79"/>
      <c r="AA100" s="75">
        <f t="shared" si="26"/>
        <v>0</v>
      </c>
      <c r="AB100" s="80" t="str">
        <f t="shared" si="27"/>
        <v/>
      </c>
      <c r="AC100" s="81" t="str">
        <f t="shared" si="28"/>
        <v/>
      </c>
    </row>
    <row r="101" spans="1:29">
      <c r="A101" s="3">
        <f>A100+1</f>
        <v>35</v>
      </c>
      <c r="B101" s="83" t="str">
        <f>[1]!ArticleCode(Art_32.11.30.)</f>
        <v>32.11.30.</v>
      </c>
      <c r="C101" s="84" t="str">
        <f>[1]!ArticleDescription(Art_32.11.30.)</f>
        <v>pannen - gebakken aarde/toebehoren - dakdoorvoeren</v>
      </c>
      <c r="D101" s="73" t="str">
        <f>[1]!ArticleMeasureType(Art_32.11.30.)</f>
        <v>FH</v>
      </c>
      <c r="E101" s="73" t="str">
        <f>[1]!ArticleMeasureUnit(Art_32.11.30.)</f>
        <v>st</v>
      </c>
      <c r="F101" s="91">
        <f>[1]!ArticleQuantity(Art_32.11.30.)</f>
        <v>5</v>
      </c>
      <c r="G101" s="73"/>
      <c r="H101" s="75"/>
      <c r="I101" s="75">
        <f>IF(RIGHT($D101,1)="-","************",ROUND(IF(NOT(ISNUMBER(G101)),IF(NOT(ISNUMBER(F101)),1,F101),G101)*H101,2))</f>
        <v>0</v>
      </c>
      <c r="J101" s="76"/>
      <c r="K101" s="77"/>
      <c r="L101" s="78"/>
      <c r="M101" s="73"/>
      <c r="N101" s="79"/>
      <c r="O101" s="75">
        <f t="shared" si="20"/>
        <v>0</v>
      </c>
      <c r="P101" s="80" t="str">
        <f t="shared" si="21"/>
        <v/>
      </c>
      <c r="Q101" s="81" t="str">
        <f t="shared" si="22"/>
        <v/>
      </c>
      <c r="R101" s="78"/>
      <c r="S101" s="73"/>
      <c r="T101" s="79"/>
      <c r="U101" s="75">
        <f t="shared" si="23"/>
        <v>0</v>
      </c>
      <c r="V101" s="80" t="str">
        <f t="shared" si="24"/>
        <v/>
      </c>
      <c r="W101" s="81" t="str">
        <f t="shared" si="25"/>
        <v/>
      </c>
      <c r="X101" s="78"/>
      <c r="Y101" s="73"/>
      <c r="Z101" s="79"/>
      <c r="AA101" s="75">
        <f t="shared" si="26"/>
        <v>0</v>
      </c>
      <c r="AB101" s="80" t="str">
        <f t="shared" si="27"/>
        <v/>
      </c>
      <c r="AC101" s="81" t="str">
        <f t="shared" si="28"/>
        <v/>
      </c>
    </row>
    <row r="102" spans="1:29">
      <c r="A102" s="3"/>
      <c r="B102" s="85"/>
      <c r="C102" s="86"/>
      <c r="D102" s="87"/>
      <c r="E102" s="86"/>
      <c r="F102" s="86"/>
      <c r="G102" s="86"/>
      <c r="H102" s="88"/>
      <c r="I102" s="88"/>
      <c r="J102" s="89">
        <f>SUBTOTAL(9,I94:I101)</f>
        <v>0</v>
      </c>
      <c r="K102" s="77"/>
      <c r="L102" s="78"/>
      <c r="M102" s="73"/>
      <c r="N102" s="79"/>
      <c r="O102" s="75">
        <f t="shared" si="20"/>
        <v>0</v>
      </c>
      <c r="P102" s="80" t="str">
        <f t="shared" si="21"/>
        <v/>
      </c>
      <c r="Q102" s="81" t="str">
        <f t="shared" si="22"/>
        <v/>
      </c>
      <c r="R102" s="78"/>
      <c r="S102" s="73"/>
      <c r="T102" s="79"/>
      <c r="U102" s="75">
        <f t="shared" si="23"/>
        <v>0</v>
      </c>
      <c r="V102" s="80" t="str">
        <f t="shared" si="24"/>
        <v/>
      </c>
      <c r="W102" s="81" t="str">
        <f t="shared" si="25"/>
        <v/>
      </c>
      <c r="X102" s="78"/>
      <c r="Y102" s="73"/>
      <c r="Z102" s="79"/>
      <c r="AA102" s="75">
        <f t="shared" si="26"/>
        <v>0</v>
      </c>
      <c r="AB102" s="80" t="str">
        <f t="shared" si="27"/>
        <v/>
      </c>
      <c r="AC102" s="81" t="str">
        <f t="shared" si="28"/>
        <v/>
      </c>
    </row>
    <row r="103" spans="1:29">
      <c r="A103" s="3"/>
      <c r="B103" s="90"/>
      <c r="C103" s="73"/>
      <c r="D103" s="73"/>
      <c r="E103" s="73"/>
      <c r="F103" s="73"/>
      <c r="G103" s="73"/>
      <c r="H103" s="75"/>
      <c r="I103" s="75"/>
      <c r="J103" s="76"/>
      <c r="K103" s="77"/>
      <c r="L103" s="78"/>
      <c r="M103" s="73"/>
      <c r="N103" s="79"/>
      <c r="O103" s="75">
        <f t="shared" si="20"/>
        <v>0</v>
      </c>
      <c r="P103" s="80" t="str">
        <f t="shared" si="21"/>
        <v/>
      </c>
      <c r="Q103" s="81" t="str">
        <f t="shared" si="22"/>
        <v/>
      </c>
      <c r="R103" s="78"/>
      <c r="S103" s="73"/>
      <c r="T103" s="79"/>
      <c r="U103" s="75">
        <f t="shared" si="23"/>
        <v>0</v>
      </c>
      <c r="V103" s="80" t="str">
        <f t="shared" si="24"/>
        <v/>
      </c>
      <c r="W103" s="81" t="str">
        <f t="shared" si="25"/>
        <v/>
      </c>
      <c r="X103" s="78"/>
      <c r="Y103" s="73"/>
      <c r="Z103" s="79"/>
      <c r="AA103" s="75">
        <f t="shared" si="26"/>
        <v>0</v>
      </c>
      <c r="AB103" s="80" t="str">
        <f t="shared" si="27"/>
        <v/>
      </c>
      <c r="AC103" s="81" t="str">
        <f t="shared" si="28"/>
        <v/>
      </c>
    </row>
    <row r="104" spans="1:29">
      <c r="A104" s="3"/>
      <c r="B104" s="72" t="s">
        <v>329</v>
      </c>
      <c r="C104" s="73"/>
      <c r="D104" s="74"/>
      <c r="E104" s="73"/>
      <c r="F104" s="73"/>
      <c r="G104" s="73"/>
      <c r="H104" s="75"/>
      <c r="I104" s="75"/>
      <c r="J104" s="76"/>
      <c r="K104" s="77"/>
      <c r="L104" s="78"/>
      <c r="M104" s="73"/>
      <c r="N104" s="79"/>
      <c r="O104" s="75">
        <f t="shared" si="20"/>
        <v>0</v>
      </c>
      <c r="P104" s="80" t="str">
        <f t="shared" si="21"/>
        <v/>
      </c>
      <c r="Q104" s="81" t="str">
        <f t="shared" si="22"/>
        <v/>
      </c>
      <c r="R104" s="78"/>
      <c r="S104" s="73"/>
      <c r="T104" s="79"/>
      <c r="U104" s="75">
        <f t="shared" si="23"/>
        <v>0</v>
      </c>
      <c r="V104" s="80" t="str">
        <f t="shared" si="24"/>
        <v/>
      </c>
      <c r="W104" s="81" t="str">
        <f t="shared" si="25"/>
        <v/>
      </c>
      <c r="X104" s="78"/>
      <c r="Y104" s="73"/>
      <c r="Z104" s="79"/>
      <c r="AA104" s="75">
        <f t="shared" si="26"/>
        <v>0</v>
      </c>
      <c r="AB104" s="80" t="str">
        <f t="shared" si="27"/>
        <v/>
      </c>
      <c r="AC104" s="81" t="str">
        <f t="shared" si="28"/>
        <v/>
      </c>
    </row>
    <row r="105" spans="1:29">
      <c r="A105" s="3"/>
      <c r="B105" s="83" t="str">
        <f>[1]!ArticleCode(Art_37.)</f>
        <v>37.</v>
      </c>
      <c r="C105" s="84" t="str">
        <f>[1]!ArticleDescription(Art_37.)</f>
        <v>DAKRANDEN EN KROONLIJSTEN</v>
      </c>
      <c r="D105" s="73"/>
      <c r="E105" s="73"/>
      <c r="F105" s="73"/>
      <c r="G105" s="73"/>
      <c r="H105" s="75"/>
      <c r="I105" s="75"/>
      <c r="J105" s="76"/>
      <c r="K105" s="77"/>
      <c r="L105" s="78"/>
      <c r="M105" s="73"/>
      <c r="N105" s="79"/>
      <c r="O105" s="75">
        <f t="shared" si="20"/>
        <v>0</v>
      </c>
      <c r="P105" s="80" t="str">
        <f t="shared" si="21"/>
        <v/>
      </c>
      <c r="Q105" s="81" t="str">
        <f t="shared" si="22"/>
        <v/>
      </c>
      <c r="R105" s="78"/>
      <c r="S105" s="73"/>
      <c r="T105" s="79"/>
      <c r="U105" s="75">
        <f t="shared" si="23"/>
        <v>0</v>
      </c>
      <c r="V105" s="80" t="str">
        <f t="shared" si="24"/>
        <v/>
      </c>
      <c r="W105" s="81" t="str">
        <f t="shared" si="25"/>
        <v/>
      </c>
      <c r="X105" s="78"/>
      <c r="Y105" s="73"/>
      <c r="Z105" s="79"/>
      <c r="AA105" s="75">
        <f t="shared" si="26"/>
        <v>0</v>
      </c>
      <c r="AB105" s="80" t="str">
        <f t="shared" si="27"/>
        <v/>
      </c>
      <c r="AC105" s="81" t="str">
        <f t="shared" si="28"/>
        <v/>
      </c>
    </row>
    <row r="106" spans="1:29">
      <c r="A106" s="3"/>
      <c r="B106" s="83" t="str">
        <f>[1]!ArticleCode(Art_37.00.)</f>
        <v>37.00.</v>
      </c>
      <c r="C106" s="84" t="str">
        <f>[1]!ArticleDescription(Art_37.00.)</f>
        <v>dakranden en kroonlijsten - algemeen</v>
      </c>
      <c r="D106" s="73"/>
      <c r="E106" s="73"/>
      <c r="F106" s="73"/>
      <c r="G106" s="73"/>
      <c r="H106" s="75"/>
      <c r="I106" s="75"/>
      <c r="J106" s="76"/>
      <c r="K106" s="77"/>
      <c r="L106" s="78"/>
      <c r="M106" s="73"/>
      <c r="N106" s="79"/>
      <c r="O106" s="75">
        <f t="shared" ref="O106:O137" si="29">IF(MID($D106,3,1)="-","*********",ROUND(IF(NOT(ISNUMBER($G106)),IF(NOT(ISNUMBER($F106)),1,$F106),$G106)*(IF(NOT(ISNUMBER(N106)),L106,N106)),2))</f>
        <v>0</v>
      </c>
      <c r="P106" s="80" t="str">
        <f t="shared" ref="P106:P137" si="30">IF(O$187=0,"",O106/O$187)</f>
        <v/>
      </c>
      <c r="Q106" s="81" t="str">
        <f t="shared" ref="Q106:Q137" si="31">IF($K106=0,"",IF(NOT(ISNUMBER(N106)),L106,N106)/$K106-1)</f>
        <v/>
      </c>
      <c r="R106" s="78"/>
      <c r="S106" s="73"/>
      <c r="T106" s="79"/>
      <c r="U106" s="75">
        <f t="shared" ref="U106:U137" si="32">IF(MID($D106,3,1)="-","*********",ROUND(IF(NOT(ISNUMBER($G106)),IF(NOT(ISNUMBER($F106)),1,$F106),$G106)*(IF(NOT(ISNUMBER(T106)),R106,T106)),2))</f>
        <v>0</v>
      </c>
      <c r="V106" s="80" t="str">
        <f t="shared" ref="V106:V137" si="33">IF(U$187=0,"",U106/U$187)</f>
        <v/>
      </c>
      <c r="W106" s="81" t="str">
        <f t="shared" ref="W106:W137" si="34">IF($K106=0,"",IF(NOT(ISNUMBER(T106)),R106,T106)/$K106-1)</f>
        <v/>
      </c>
      <c r="X106" s="78"/>
      <c r="Y106" s="73"/>
      <c r="Z106" s="79"/>
      <c r="AA106" s="75">
        <f t="shared" ref="AA106:AA137" si="35">IF(MID($D106,3,1)="-","*********",ROUND(IF(NOT(ISNUMBER($G106)),IF(NOT(ISNUMBER($F106)),1,$F106),$G106)*(IF(NOT(ISNUMBER(Z106)),X106,Z106)),2))</f>
        <v>0</v>
      </c>
      <c r="AB106" s="80" t="str">
        <f t="shared" ref="AB106:AB137" si="36">IF(AA$187=0,"",AA106/AA$187)</f>
        <v/>
      </c>
      <c r="AC106" s="81" t="str">
        <f t="shared" ref="AC106:AC137" si="37">IF($K106=0,"",IF(NOT(ISNUMBER(Z106)),X106,Z106)/$K106-1)</f>
        <v/>
      </c>
    </row>
    <row r="107" spans="1:29">
      <c r="A107" s="3"/>
      <c r="B107" s="83" t="str">
        <f>[1]!ArticleCode(Art_37.10.)</f>
        <v>37.10.</v>
      </c>
      <c r="C107" s="84" t="str">
        <f>[1]!ArticleDescription(Art_37.10.)</f>
        <v>slabben, loketten en aansluitbanden - algemeen</v>
      </c>
      <c r="D107" s="73"/>
      <c r="E107" s="73"/>
      <c r="F107" s="73"/>
      <c r="G107" s="73"/>
      <c r="H107" s="75"/>
      <c r="I107" s="75"/>
      <c r="J107" s="76"/>
      <c r="K107" s="77"/>
      <c r="L107" s="78"/>
      <c r="M107" s="73"/>
      <c r="N107" s="79"/>
      <c r="O107" s="75">
        <f t="shared" si="29"/>
        <v>0</v>
      </c>
      <c r="P107" s="80" t="str">
        <f t="shared" si="30"/>
        <v/>
      </c>
      <c r="Q107" s="81" t="str">
        <f t="shared" si="31"/>
        <v/>
      </c>
      <c r="R107" s="78"/>
      <c r="S107" s="73"/>
      <c r="T107" s="79"/>
      <c r="U107" s="75">
        <f t="shared" si="32"/>
        <v>0</v>
      </c>
      <c r="V107" s="80" t="str">
        <f t="shared" si="33"/>
        <v/>
      </c>
      <c r="W107" s="81" t="str">
        <f t="shared" si="34"/>
        <v/>
      </c>
      <c r="X107" s="78"/>
      <c r="Y107" s="73"/>
      <c r="Z107" s="79"/>
      <c r="AA107" s="75">
        <f t="shared" si="35"/>
        <v>0</v>
      </c>
      <c r="AB107" s="80" t="str">
        <f t="shared" si="36"/>
        <v/>
      </c>
      <c r="AC107" s="81" t="str">
        <f t="shared" si="37"/>
        <v/>
      </c>
    </row>
    <row r="108" spans="1:29">
      <c r="A108" s="3"/>
      <c r="B108" s="83" t="str">
        <f>[1]!ArticleCode(Art_37.11.)</f>
        <v>37.11.</v>
      </c>
      <c r="C108" s="84" t="str">
        <f>[1]!ArticleDescription(Art_37.11.)</f>
        <v>slabben, loketten en aansluitbanden - metaal</v>
      </c>
      <c r="D108" s="73"/>
      <c r="E108" s="73"/>
      <c r="F108" s="73"/>
      <c r="G108" s="73"/>
      <c r="H108" s="75"/>
      <c r="I108" s="75"/>
      <c r="J108" s="76"/>
      <c r="K108" s="77"/>
      <c r="L108" s="78"/>
      <c r="M108" s="73"/>
      <c r="N108" s="79"/>
      <c r="O108" s="75">
        <f t="shared" si="29"/>
        <v>0</v>
      </c>
      <c r="P108" s="80" t="str">
        <f t="shared" si="30"/>
        <v/>
      </c>
      <c r="Q108" s="81" t="str">
        <f t="shared" si="31"/>
        <v/>
      </c>
      <c r="R108" s="78"/>
      <c r="S108" s="73"/>
      <c r="T108" s="79"/>
      <c r="U108" s="75">
        <f t="shared" si="32"/>
        <v>0</v>
      </c>
      <c r="V108" s="80" t="str">
        <f t="shared" si="33"/>
        <v/>
      </c>
      <c r="W108" s="81" t="str">
        <f t="shared" si="34"/>
        <v/>
      </c>
      <c r="X108" s="78"/>
      <c r="Y108" s="73"/>
      <c r="Z108" s="79"/>
      <c r="AA108" s="75">
        <f t="shared" si="35"/>
        <v>0</v>
      </c>
      <c r="AB108" s="80" t="str">
        <f t="shared" si="36"/>
        <v/>
      </c>
      <c r="AC108" s="81" t="str">
        <f t="shared" si="37"/>
        <v/>
      </c>
    </row>
    <row r="109" spans="1:29">
      <c r="A109" s="3">
        <f>A101+1</f>
        <v>36</v>
      </c>
      <c r="B109" s="83" t="str">
        <f>[1]!ArticleCode(Art_37.11.10.)</f>
        <v>37.11.10.</v>
      </c>
      <c r="C109" s="84" t="str">
        <f>[1]!ArticleDescription(Art_37.11.10.)</f>
        <v>slabben, loketten en aansluitbanden - metaal/lood</v>
      </c>
      <c r="D109" s="73" t="str">
        <f>[1]!ArticleMeasureType(Art_37.11.10.)</f>
        <v>FH</v>
      </c>
      <c r="E109" s="73" t="str">
        <f>[1]!ArticleMeasureUnit(Art_37.11.10.)</f>
        <v>m</v>
      </c>
      <c r="F109" s="91">
        <f>[1]!ArticleQuantity(Art_37.11.10.)</f>
        <v>47.52</v>
      </c>
      <c r="G109" s="73"/>
      <c r="H109" s="75"/>
      <c r="I109" s="75">
        <f>IF(RIGHT($D109,1)="-","************",ROUND(IF(NOT(ISNUMBER(G109)),IF(NOT(ISNUMBER(F109)),1,F109),G109)*H109,2))</f>
        <v>0</v>
      </c>
      <c r="J109" s="76"/>
      <c r="K109" s="77"/>
      <c r="L109" s="78"/>
      <c r="M109" s="73"/>
      <c r="N109" s="79"/>
      <c r="O109" s="75">
        <f t="shared" si="29"/>
        <v>0</v>
      </c>
      <c r="P109" s="80" t="str">
        <f t="shared" si="30"/>
        <v/>
      </c>
      <c r="Q109" s="81" t="str">
        <f t="shared" si="31"/>
        <v/>
      </c>
      <c r="R109" s="78"/>
      <c r="S109" s="73"/>
      <c r="T109" s="79"/>
      <c r="U109" s="75">
        <f t="shared" si="32"/>
        <v>0</v>
      </c>
      <c r="V109" s="80" t="str">
        <f t="shared" si="33"/>
        <v/>
      </c>
      <c r="W109" s="81" t="str">
        <f t="shared" si="34"/>
        <v/>
      </c>
      <c r="X109" s="78"/>
      <c r="Y109" s="73"/>
      <c r="Z109" s="79"/>
      <c r="AA109" s="75">
        <f t="shared" si="35"/>
        <v>0</v>
      </c>
      <c r="AB109" s="80" t="str">
        <f t="shared" si="36"/>
        <v/>
      </c>
      <c r="AC109" s="81" t="str">
        <f t="shared" si="37"/>
        <v/>
      </c>
    </row>
    <row r="110" spans="1:29">
      <c r="A110" s="3"/>
      <c r="B110" s="85"/>
      <c r="C110" s="86"/>
      <c r="D110" s="87"/>
      <c r="E110" s="86"/>
      <c r="F110" s="86"/>
      <c r="G110" s="86"/>
      <c r="H110" s="88"/>
      <c r="I110" s="88"/>
      <c r="J110" s="89">
        <f>SUBTOTAL(9,I105:I109)</f>
        <v>0</v>
      </c>
      <c r="K110" s="77"/>
      <c r="L110" s="78"/>
      <c r="M110" s="73"/>
      <c r="N110" s="79"/>
      <c r="O110" s="75">
        <f t="shared" si="29"/>
        <v>0</v>
      </c>
      <c r="P110" s="80" t="str">
        <f t="shared" si="30"/>
        <v/>
      </c>
      <c r="Q110" s="81" t="str">
        <f t="shared" si="31"/>
        <v/>
      </c>
      <c r="R110" s="78"/>
      <c r="S110" s="73"/>
      <c r="T110" s="79"/>
      <c r="U110" s="75">
        <f t="shared" si="32"/>
        <v>0</v>
      </c>
      <c r="V110" s="80" t="str">
        <f t="shared" si="33"/>
        <v/>
      </c>
      <c r="W110" s="81" t="str">
        <f t="shared" si="34"/>
        <v/>
      </c>
      <c r="X110" s="78"/>
      <c r="Y110" s="73"/>
      <c r="Z110" s="79"/>
      <c r="AA110" s="75">
        <f t="shared" si="35"/>
        <v>0</v>
      </c>
      <c r="AB110" s="80" t="str">
        <f t="shared" si="36"/>
        <v/>
      </c>
      <c r="AC110" s="81" t="str">
        <f t="shared" si="37"/>
        <v/>
      </c>
    </row>
    <row r="111" spans="1:29">
      <c r="A111" s="3"/>
      <c r="B111" s="90"/>
      <c r="C111" s="73"/>
      <c r="D111" s="73"/>
      <c r="E111" s="73"/>
      <c r="F111" s="73"/>
      <c r="G111" s="73"/>
      <c r="H111" s="75"/>
      <c r="I111" s="75"/>
      <c r="J111" s="76"/>
      <c r="K111" s="77"/>
      <c r="L111" s="78"/>
      <c r="M111" s="73"/>
      <c r="N111" s="79"/>
      <c r="O111" s="75">
        <f t="shared" si="29"/>
        <v>0</v>
      </c>
      <c r="P111" s="80" t="str">
        <f t="shared" si="30"/>
        <v/>
      </c>
      <c r="Q111" s="81" t="str">
        <f t="shared" si="31"/>
        <v/>
      </c>
      <c r="R111" s="78"/>
      <c r="S111" s="73"/>
      <c r="T111" s="79"/>
      <c r="U111" s="75">
        <f t="shared" si="32"/>
        <v>0</v>
      </c>
      <c r="V111" s="80" t="str">
        <f t="shared" si="33"/>
        <v/>
      </c>
      <c r="W111" s="81" t="str">
        <f t="shared" si="34"/>
        <v/>
      </c>
      <c r="X111" s="78"/>
      <c r="Y111" s="73"/>
      <c r="Z111" s="79"/>
      <c r="AA111" s="75">
        <f t="shared" si="35"/>
        <v>0</v>
      </c>
      <c r="AB111" s="80" t="str">
        <f t="shared" si="36"/>
        <v/>
      </c>
      <c r="AC111" s="81" t="str">
        <f t="shared" si="37"/>
        <v/>
      </c>
    </row>
    <row r="112" spans="1:29">
      <c r="A112" s="3"/>
      <c r="B112" s="72" t="s">
        <v>330</v>
      </c>
      <c r="C112" s="73"/>
      <c r="D112" s="74"/>
      <c r="E112" s="73"/>
      <c r="F112" s="73"/>
      <c r="G112" s="73"/>
      <c r="H112" s="75"/>
      <c r="I112" s="75"/>
      <c r="J112" s="76"/>
      <c r="K112" s="77"/>
      <c r="L112" s="78"/>
      <c r="M112" s="73"/>
      <c r="N112" s="79"/>
      <c r="O112" s="75">
        <f t="shared" si="29"/>
        <v>0</v>
      </c>
      <c r="P112" s="80" t="str">
        <f t="shared" si="30"/>
        <v/>
      </c>
      <c r="Q112" s="81" t="str">
        <f t="shared" si="31"/>
        <v/>
      </c>
      <c r="R112" s="78"/>
      <c r="S112" s="73"/>
      <c r="T112" s="79"/>
      <c r="U112" s="75">
        <f t="shared" si="32"/>
        <v>0</v>
      </c>
      <c r="V112" s="80" t="str">
        <f t="shared" si="33"/>
        <v/>
      </c>
      <c r="W112" s="81" t="str">
        <f t="shared" si="34"/>
        <v/>
      </c>
      <c r="X112" s="78"/>
      <c r="Y112" s="73"/>
      <c r="Z112" s="79"/>
      <c r="AA112" s="75">
        <f t="shared" si="35"/>
        <v>0</v>
      </c>
      <c r="AB112" s="80" t="str">
        <f t="shared" si="36"/>
        <v/>
      </c>
      <c r="AC112" s="81" t="str">
        <f t="shared" si="37"/>
        <v/>
      </c>
    </row>
    <row r="113" spans="1:29">
      <c r="A113" s="3"/>
      <c r="B113" s="83" t="str">
        <f>[1]!ArticleCode(Art_38.)</f>
        <v>38.</v>
      </c>
      <c r="C113" s="84" t="str">
        <f>[1]!ArticleDescription(Art_38.)</f>
        <v>DAKWATERAFVOER</v>
      </c>
      <c r="D113" s="73"/>
      <c r="E113" s="73"/>
      <c r="F113" s="73"/>
      <c r="G113" s="73"/>
      <c r="H113" s="75"/>
      <c r="I113" s="75"/>
      <c r="J113" s="76"/>
      <c r="K113" s="77"/>
      <c r="L113" s="78"/>
      <c r="M113" s="73"/>
      <c r="N113" s="79"/>
      <c r="O113" s="75">
        <f t="shared" si="29"/>
        <v>0</v>
      </c>
      <c r="P113" s="80" t="str">
        <f t="shared" si="30"/>
        <v/>
      </c>
      <c r="Q113" s="81" t="str">
        <f t="shared" si="31"/>
        <v/>
      </c>
      <c r="R113" s="78"/>
      <c r="S113" s="73"/>
      <c r="T113" s="79"/>
      <c r="U113" s="75">
        <f t="shared" si="32"/>
        <v>0</v>
      </c>
      <c r="V113" s="80" t="str">
        <f t="shared" si="33"/>
        <v/>
      </c>
      <c r="W113" s="81" t="str">
        <f t="shared" si="34"/>
        <v/>
      </c>
      <c r="X113" s="78"/>
      <c r="Y113" s="73"/>
      <c r="Z113" s="79"/>
      <c r="AA113" s="75">
        <f t="shared" si="35"/>
        <v>0</v>
      </c>
      <c r="AB113" s="80" t="str">
        <f t="shared" si="36"/>
        <v/>
      </c>
      <c r="AC113" s="81" t="str">
        <f t="shared" si="37"/>
        <v/>
      </c>
    </row>
    <row r="114" spans="1:29">
      <c r="A114" s="3"/>
      <c r="B114" s="83" t="str">
        <f>[1]!ArticleCode(Art_38.00.)</f>
        <v>38.00.</v>
      </c>
      <c r="C114" s="84" t="str">
        <f>[1]!ArticleDescription(Art_38.00.)</f>
        <v>dakwaterafvoer - algemeen</v>
      </c>
      <c r="D114" s="73"/>
      <c r="E114" s="73"/>
      <c r="F114" s="73"/>
      <c r="G114" s="73"/>
      <c r="H114" s="75"/>
      <c r="I114" s="75"/>
      <c r="J114" s="76"/>
      <c r="K114" s="77"/>
      <c r="L114" s="78"/>
      <c r="M114" s="73"/>
      <c r="N114" s="79"/>
      <c r="O114" s="75">
        <f t="shared" si="29"/>
        <v>0</v>
      </c>
      <c r="P114" s="80" t="str">
        <f t="shared" si="30"/>
        <v/>
      </c>
      <c r="Q114" s="81" t="str">
        <f t="shared" si="31"/>
        <v/>
      </c>
      <c r="R114" s="78"/>
      <c r="S114" s="73"/>
      <c r="T114" s="79"/>
      <c r="U114" s="75">
        <f t="shared" si="32"/>
        <v>0</v>
      </c>
      <c r="V114" s="80" t="str">
        <f t="shared" si="33"/>
        <v/>
      </c>
      <c r="W114" s="81" t="str">
        <f t="shared" si="34"/>
        <v/>
      </c>
      <c r="X114" s="78"/>
      <c r="Y114" s="73"/>
      <c r="Z114" s="79"/>
      <c r="AA114" s="75">
        <f t="shared" si="35"/>
        <v>0</v>
      </c>
      <c r="AB114" s="80" t="str">
        <f t="shared" si="36"/>
        <v/>
      </c>
      <c r="AC114" s="81" t="str">
        <f t="shared" si="37"/>
        <v/>
      </c>
    </row>
    <row r="115" spans="1:29">
      <c r="A115" s="3"/>
      <c r="B115" s="83" t="str">
        <f>[1]!ArticleCode(Art_38.20.)</f>
        <v>38.20.</v>
      </c>
      <c r="C115" s="84" t="str">
        <f>[1]!ArticleDescription(Art_38.20.)</f>
        <v>hanggoten - algemeen</v>
      </c>
      <c r="D115" s="73"/>
      <c r="E115" s="73"/>
      <c r="F115" s="73"/>
      <c r="G115" s="73"/>
      <c r="H115" s="75"/>
      <c r="I115" s="75"/>
      <c r="J115" s="76"/>
      <c r="K115" s="77"/>
      <c r="L115" s="78"/>
      <c r="M115" s="73"/>
      <c r="N115" s="79"/>
      <c r="O115" s="75">
        <f t="shared" si="29"/>
        <v>0</v>
      </c>
      <c r="P115" s="80" t="str">
        <f t="shared" si="30"/>
        <v/>
      </c>
      <c r="Q115" s="81" t="str">
        <f t="shared" si="31"/>
        <v/>
      </c>
      <c r="R115" s="78"/>
      <c r="S115" s="73"/>
      <c r="T115" s="79"/>
      <c r="U115" s="75">
        <f t="shared" si="32"/>
        <v>0</v>
      </c>
      <c r="V115" s="80" t="str">
        <f t="shared" si="33"/>
        <v/>
      </c>
      <c r="W115" s="81" t="str">
        <f t="shared" si="34"/>
        <v/>
      </c>
      <c r="X115" s="78"/>
      <c r="Y115" s="73"/>
      <c r="Z115" s="79"/>
      <c r="AA115" s="75">
        <f t="shared" si="35"/>
        <v>0</v>
      </c>
      <c r="AB115" s="80" t="str">
        <f t="shared" si="36"/>
        <v/>
      </c>
      <c r="AC115" s="81" t="str">
        <f t="shared" si="37"/>
        <v/>
      </c>
    </row>
    <row r="116" spans="1:29">
      <c r="A116" s="3"/>
      <c r="B116" s="83" t="str">
        <f>[1]!ArticleCode(Art_38.22.)</f>
        <v>38.22.</v>
      </c>
      <c r="C116" s="84" t="str">
        <f>[1]!ArticleDescription(Art_38.22.)</f>
        <v>hanggoten – metaal</v>
      </c>
      <c r="D116" s="73"/>
      <c r="E116" s="73"/>
      <c r="F116" s="73"/>
      <c r="G116" s="73"/>
      <c r="H116" s="75"/>
      <c r="I116" s="75"/>
      <c r="J116" s="76"/>
      <c r="K116" s="77"/>
      <c r="L116" s="78"/>
      <c r="M116" s="73"/>
      <c r="N116" s="79"/>
      <c r="O116" s="75">
        <f t="shared" si="29"/>
        <v>0</v>
      </c>
      <c r="P116" s="80" t="str">
        <f t="shared" si="30"/>
        <v/>
      </c>
      <c r="Q116" s="81" t="str">
        <f t="shared" si="31"/>
        <v/>
      </c>
      <c r="R116" s="78"/>
      <c r="S116" s="73"/>
      <c r="T116" s="79"/>
      <c r="U116" s="75">
        <f t="shared" si="32"/>
        <v>0</v>
      </c>
      <c r="V116" s="80" t="str">
        <f t="shared" si="33"/>
        <v/>
      </c>
      <c r="W116" s="81" t="str">
        <f t="shared" si="34"/>
        <v/>
      </c>
      <c r="X116" s="78"/>
      <c r="Y116" s="73"/>
      <c r="Z116" s="79"/>
      <c r="AA116" s="75">
        <f t="shared" si="35"/>
        <v>0</v>
      </c>
      <c r="AB116" s="80" t="str">
        <f t="shared" si="36"/>
        <v/>
      </c>
      <c r="AC116" s="81" t="str">
        <f t="shared" si="37"/>
        <v/>
      </c>
    </row>
    <row r="117" spans="1:29">
      <c r="A117" s="3">
        <f>A109+1</f>
        <v>37</v>
      </c>
      <c r="B117" s="83" t="str">
        <f>[1]!ArticleCode(Art_38.22.10.)</f>
        <v>38.22.10.</v>
      </c>
      <c r="C117" s="84" t="str">
        <f>[1]!ArticleDescription(Art_38.22.10.)</f>
        <v>hanggoten – metaal/zink</v>
      </c>
      <c r="D117" s="73" t="str">
        <f>[1]!ArticleMeasureType(Art_38.22.10.)</f>
        <v>FH</v>
      </c>
      <c r="E117" s="73" t="str">
        <f>[1]!ArticleMeasureUnit(Art_38.22.10.)</f>
        <v>m</v>
      </c>
      <c r="F117" s="92">
        <f>[1]!ArticleQuantity(Art_38.22.10.)</f>
        <v>9.6</v>
      </c>
      <c r="G117" s="73"/>
      <c r="H117" s="75"/>
      <c r="I117" s="75">
        <f>IF(RIGHT($D117,1)="-","************",ROUND(IF(NOT(ISNUMBER(G117)),IF(NOT(ISNUMBER(F117)),1,F117),G117)*H117,2))</f>
        <v>0</v>
      </c>
      <c r="J117" s="76"/>
      <c r="K117" s="77"/>
      <c r="L117" s="78"/>
      <c r="M117" s="73"/>
      <c r="N117" s="79"/>
      <c r="O117" s="75">
        <f t="shared" si="29"/>
        <v>0</v>
      </c>
      <c r="P117" s="80" t="str">
        <f t="shared" si="30"/>
        <v/>
      </c>
      <c r="Q117" s="81" t="str">
        <f t="shared" si="31"/>
        <v/>
      </c>
      <c r="R117" s="78"/>
      <c r="S117" s="73"/>
      <c r="T117" s="79"/>
      <c r="U117" s="75">
        <f t="shared" si="32"/>
        <v>0</v>
      </c>
      <c r="V117" s="80" t="str">
        <f t="shared" si="33"/>
        <v/>
      </c>
      <c r="W117" s="81" t="str">
        <f t="shared" si="34"/>
        <v/>
      </c>
      <c r="X117" s="78"/>
      <c r="Y117" s="73"/>
      <c r="Z117" s="79"/>
      <c r="AA117" s="75">
        <f t="shared" si="35"/>
        <v>0</v>
      </c>
      <c r="AB117" s="80" t="str">
        <f t="shared" si="36"/>
        <v/>
      </c>
      <c r="AC117" s="81" t="str">
        <f t="shared" si="37"/>
        <v/>
      </c>
    </row>
    <row r="118" spans="1:29">
      <c r="A118" s="3"/>
      <c r="B118" s="83" t="str">
        <f>[1]!ArticleCode(Art_38.30.)</f>
        <v>38.30.</v>
      </c>
      <c r="C118" s="84" t="str">
        <f>[1]!ArticleDescription(Art_38.30.)</f>
        <v>afvoerpijpen - algemeen</v>
      </c>
      <c r="D118" s="73"/>
      <c r="E118" s="73"/>
      <c r="F118" s="73"/>
      <c r="G118" s="73"/>
      <c r="H118" s="75"/>
      <c r="I118" s="75"/>
      <c r="J118" s="76"/>
      <c r="K118" s="77"/>
      <c r="L118" s="78"/>
      <c r="M118" s="73"/>
      <c r="N118" s="79"/>
      <c r="O118" s="75">
        <f t="shared" si="29"/>
        <v>0</v>
      </c>
      <c r="P118" s="80" t="str">
        <f t="shared" si="30"/>
        <v/>
      </c>
      <c r="Q118" s="81" t="str">
        <f t="shared" si="31"/>
        <v/>
      </c>
      <c r="R118" s="78"/>
      <c r="S118" s="73"/>
      <c r="T118" s="79"/>
      <c r="U118" s="75">
        <f t="shared" si="32"/>
        <v>0</v>
      </c>
      <c r="V118" s="80" t="str">
        <f t="shared" si="33"/>
        <v/>
      </c>
      <c r="W118" s="81" t="str">
        <f t="shared" si="34"/>
        <v/>
      </c>
      <c r="X118" s="78"/>
      <c r="Y118" s="73"/>
      <c r="Z118" s="79"/>
      <c r="AA118" s="75">
        <f t="shared" si="35"/>
        <v>0</v>
      </c>
      <c r="AB118" s="80" t="str">
        <f t="shared" si="36"/>
        <v/>
      </c>
      <c r="AC118" s="81" t="str">
        <f t="shared" si="37"/>
        <v/>
      </c>
    </row>
    <row r="119" spans="1:29">
      <c r="A119" s="3"/>
      <c r="B119" s="83" t="str">
        <f>[1]!ArticleCode(Art_38.32.)</f>
        <v>38.32.</v>
      </c>
      <c r="C119" s="84" t="str">
        <f>[1]!ArticleDescription(Art_38.32.)</f>
        <v>afvoerpijpen - metaal</v>
      </c>
      <c r="D119" s="73"/>
      <c r="E119" s="73"/>
      <c r="F119" s="73"/>
      <c r="G119" s="73"/>
      <c r="H119" s="75"/>
      <c r="I119" s="75"/>
      <c r="J119" s="76"/>
      <c r="K119" s="77"/>
      <c r="L119" s="78"/>
      <c r="M119" s="73"/>
      <c r="N119" s="79"/>
      <c r="O119" s="75">
        <f t="shared" si="29"/>
        <v>0</v>
      </c>
      <c r="P119" s="80" t="str">
        <f t="shared" si="30"/>
        <v/>
      </c>
      <c r="Q119" s="81" t="str">
        <f t="shared" si="31"/>
        <v/>
      </c>
      <c r="R119" s="78"/>
      <c r="S119" s="73"/>
      <c r="T119" s="79"/>
      <c r="U119" s="75">
        <f t="shared" si="32"/>
        <v>0</v>
      </c>
      <c r="V119" s="80" t="str">
        <f t="shared" si="33"/>
        <v/>
      </c>
      <c r="W119" s="81" t="str">
        <f t="shared" si="34"/>
        <v/>
      </c>
      <c r="X119" s="78"/>
      <c r="Y119" s="73"/>
      <c r="Z119" s="79"/>
      <c r="AA119" s="75">
        <f t="shared" si="35"/>
        <v>0</v>
      </c>
      <c r="AB119" s="80" t="str">
        <f t="shared" si="36"/>
        <v/>
      </c>
      <c r="AC119" s="81" t="str">
        <f t="shared" si="37"/>
        <v/>
      </c>
    </row>
    <row r="120" spans="1:29">
      <c r="A120" s="3">
        <f>A117+1</f>
        <v>38</v>
      </c>
      <c r="B120" s="83" t="str">
        <f>[1]!ArticleCode(Art_38.32.10.)</f>
        <v>38.32.10.</v>
      </c>
      <c r="C120" s="84" t="str">
        <f>[1]!ArticleDescription(Art_38.32.10.)</f>
        <v>afvoerpijpen – metaal/zink</v>
      </c>
      <c r="D120" s="73" t="str">
        <f>[1]!ArticleMeasureType(Art_38.32.10.)</f>
        <v>FH</v>
      </c>
      <c r="E120" s="73" t="str">
        <f>[1]!ArticleMeasureUnit(Art_38.32.10.)</f>
        <v>m</v>
      </c>
      <c r="F120" s="92">
        <f>[1]!ArticleQuantity(Art_38.32.10.)</f>
        <v>13.99</v>
      </c>
      <c r="G120" s="73"/>
      <c r="H120" s="75"/>
      <c r="I120" s="75">
        <f>IF(RIGHT($D120,1)="-","************",ROUND(IF(NOT(ISNUMBER(G120)),IF(NOT(ISNUMBER(F120)),1,F120),G120)*H120,2))</f>
        <v>0</v>
      </c>
      <c r="J120" s="76"/>
      <c r="K120" s="77"/>
      <c r="L120" s="78"/>
      <c r="M120" s="73"/>
      <c r="N120" s="79"/>
      <c r="O120" s="75">
        <f t="shared" si="29"/>
        <v>0</v>
      </c>
      <c r="P120" s="80" t="str">
        <f t="shared" si="30"/>
        <v/>
      </c>
      <c r="Q120" s="81" t="str">
        <f t="shared" si="31"/>
        <v/>
      </c>
      <c r="R120" s="78"/>
      <c r="S120" s="73"/>
      <c r="T120" s="79"/>
      <c r="U120" s="75">
        <f t="shared" si="32"/>
        <v>0</v>
      </c>
      <c r="V120" s="80" t="str">
        <f t="shared" si="33"/>
        <v/>
      </c>
      <c r="W120" s="81" t="str">
        <f t="shared" si="34"/>
        <v/>
      </c>
      <c r="X120" s="78"/>
      <c r="Y120" s="73"/>
      <c r="Z120" s="79"/>
      <c r="AA120" s="75">
        <f t="shared" si="35"/>
        <v>0</v>
      </c>
      <c r="AB120" s="80" t="str">
        <f t="shared" si="36"/>
        <v/>
      </c>
      <c r="AC120" s="81" t="str">
        <f t="shared" si="37"/>
        <v/>
      </c>
    </row>
    <row r="121" spans="1:29">
      <c r="A121" s="3"/>
      <c r="B121" s="83" t="str">
        <f>[1]!ArticleCode(Art_38.40.)</f>
        <v>38.40.</v>
      </c>
      <c r="C121" s="84" t="str">
        <f>[1]!ArticleDescription(Art_38.40.)</f>
        <v>eindstukken - algemeen</v>
      </c>
      <c r="D121" s="73"/>
      <c r="E121" s="73"/>
      <c r="F121" s="73"/>
      <c r="G121" s="73"/>
      <c r="H121" s="75"/>
      <c r="I121" s="75"/>
      <c r="J121" s="76"/>
      <c r="K121" s="77"/>
      <c r="L121" s="78"/>
      <c r="M121" s="73"/>
      <c r="N121" s="79"/>
      <c r="O121" s="75">
        <f t="shared" si="29"/>
        <v>0</v>
      </c>
      <c r="P121" s="80" t="str">
        <f t="shared" si="30"/>
        <v/>
      </c>
      <c r="Q121" s="81" t="str">
        <f t="shared" si="31"/>
        <v/>
      </c>
      <c r="R121" s="78"/>
      <c r="S121" s="73"/>
      <c r="T121" s="79"/>
      <c r="U121" s="75">
        <f t="shared" si="32"/>
        <v>0</v>
      </c>
      <c r="V121" s="80" t="str">
        <f t="shared" si="33"/>
        <v/>
      </c>
      <c r="W121" s="81" t="str">
        <f t="shared" si="34"/>
        <v/>
      </c>
      <c r="X121" s="78"/>
      <c r="Y121" s="73"/>
      <c r="Z121" s="79"/>
      <c r="AA121" s="75">
        <f t="shared" si="35"/>
        <v>0</v>
      </c>
      <c r="AB121" s="80" t="str">
        <f t="shared" si="36"/>
        <v/>
      </c>
      <c r="AC121" s="81" t="str">
        <f t="shared" si="37"/>
        <v/>
      </c>
    </row>
    <row r="122" spans="1:29">
      <c r="A122" s="3">
        <f>A120+1</f>
        <v>39</v>
      </c>
      <c r="B122" s="83" t="str">
        <f>[1]!ArticleCode(Art_38.42.)</f>
        <v>38.42.</v>
      </c>
      <c r="C122" s="84" t="str">
        <f>[1]!ArticleDescription(Art_38.42.)</f>
        <v>eindstukken - behandeld gietijzer</v>
      </c>
      <c r="D122" s="73" t="str">
        <f>[1]!ArticleMeasureType(Art_38.42.)</f>
        <v>FH</v>
      </c>
      <c r="E122" s="73" t="str">
        <f>[1]!ArticleMeasureUnit(Art_38.42.)</f>
        <v>st</v>
      </c>
      <c r="F122" s="91">
        <f>[1]!ArticleQuantity(Art_38.42.)</f>
        <v>1</v>
      </c>
      <c r="G122" s="73"/>
      <c r="H122" s="75"/>
      <c r="I122" s="75">
        <f>IF(RIGHT($D122,1)="-","************",ROUND(IF(NOT(ISNUMBER(G122)),IF(NOT(ISNUMBER(F122)),1,F122),G122)*H122,2))</f>
        <v>0</v>
      </c>
      <c r="J122" s="76"/>
      <c r="K122" s="77"/>
      <c r="L122" s="78"/>
      <c r="M122" s="73"/>
      <c r="N122" s="79"/>
      <c r="O122" s="75">
        <f t="shared" si="29"/>
        <v>0</v>
      </c>
      <c r="P122" s="80" t="str">
        <f t="shared" si="30"/>
        <v/>
      </c>
      <c r="Q122" s="81" t="str">
        <f t="shared" si="31"/>
        <v/>
      </c>
      <c r="R122" s="78"/>
      <c r="S122" s="73"/>
      <c r="T122" s="79"/>
      <c r="U122" s="75">
        <f t="shared" si="32"/>
        <v>0</v>
      </c>
      <c r="V122" s="80" t="str">
        <f t="shared" si="33"/>
        <v/>
      </c>
      <c r="W122" s="81" t="str">
        <f t="shared" si="34"/>
        <v/>
      </c>
      <c r="X122" s="78"/>
      <c r="Y122" s="73"/>
      <c r="Z122" s="79"/>
      <c r="AA122" s="75">
        <f t="shared" si="35"/>
        <v>0</v>
      </c>
      <c r="AB122" s="80" t="str">
        <f t="shared" si="36"/>
        <v/>
      </c>
      <c r="AC122" s="81" t="str">
        <f t="shared" si="37"/>
        <v/>
      </c>
    </row>
    <row r="123" spans="1:29">
      <c r="A123" s="3"/>
      <c r="B123" s="83" t="str">
        <f>[1]!ArticleCode(Art_38.50.)</f>
        <v>38.50.</v>
      </c>
      <c r="C123" s="84" t="str">
        <f>[1]!ArticleDescription(Art_38.50.)</f>
        <v>toebehoren - algemeen</v>
      </c>
      <c r="D123" s="73"/>
      <c r="E123" s="73"/>
      <c r="F123" s="73"/>
      <c r="G123" s="73"/>
      <c r="H123" s="75"/>
      <c r="I123" s="75"/>
      <c r="J123" s="76"/>
      <c r="K123" s="77"/>
      <c r="L123" s="78"/>
      <c r="M123" s="73"/>
      <c r="N123" s="79"/>
      <c r="O123" s="75">
        <f t="shared" si="29"/>
        <v>0</v>
      </c>
      <c r="P123" s="80" t="str">
        <f t="shared" si="30"/>
        <v/>
      </c>
      <c r="Q123" s="81" t="str">
        <f t="shared" si="31"/>
        <v/>
      </c>
      <c r="R123" s="78"/>
      <c r="S123" s="73"/>
      <c r="T123" s="79"/>
      <c r="U123" s="75">
        <f t="shared" si="32"/>
        <v>0</v>
      </c>
      <c r="V123" s="80" t="str">
        <f t="shared" si="33"/>
        <v/>
      </c>
      <c r="W123" s="81" t="str">
        <f t="shared" si="34"/>
        <v/>
      </c>
      <c r="X123" s="78"/>
      <c r="Y123" s="73"/>
      <c r="Z123" s="79"/>
      <c r="AA123" s="75">
        <f t="shared" si="35"/>
        <v>0</v>
      </c>
      <c r="AB123" s="80" t="str">
        <f t="shared" si="36"/>
        <v/>
      </c>
      <c r="AC123" s="81" t="str">
        <f t="shared" si="37"/>
        <v/>
      </c>
    </row>
    <row r="124" spans="1:29">
      <c r="A124" s="3">
        <f>A122+1</f>
        <v>40</v>
      </c>
      <c r="B124" s="83" t="str">
        <f>[1]!ArticleCode(Art_38.52.)</f>
        <v>38.52.</v>
      </c>
      <c r="C124" s="84" t="str">
        <f>[1]!ArticleDescription(Art_38.52.)</f>
        <v>toebehoren - draad- en bolroosters</v>
      </c>
      <c r="D124" s="73" t="str">
        <f>[1]!ArticleMeasureType(Art_38.52.)</f>
        <v>FH</v>
      </c>
      <c r="E124" s="73" t="str">
        <f>[1]!ArticleMeasureUnit(Art_38.52.)</f>
        <v>st</v>
      </c>
      <c r="F124" s="91">
        <f>[1]!ArticleQuantity(Art_38.52.)</f>
        <v>19</v>
      </c>
      <c r="G124" s="73"/>
      <c r="H124" s="75"/>
      <c r="I124" s="75">
        <f>IF(RIGHT($D124,1)="-","************",ROUND(IF(NOT(ISNUMBER(G124)),IF(NOT(ISNUMBER(F124)),1,F124),G124)*H124,2))</f>
        <v>0</v>
      </c>
      <c r="J124" s="76"/>
      <c r="K124" s="77"/>
      <c r="L124" s="78"/>
      <c r="M124" s="73"/>
      <c r="N124" s="79"/>
      <c r="O124" s="75">
        <f t="shared" si="29"/>
        <v>0</v>
      </c>
      <c r="P124" s="80" t="str">
        <f t="shared" si="30"/>
        <v/>
      </c>
      <c r="Q124" s="81" t="str">
        <f t="shared" si="31"/>
        <v/>
      </c>
      <c r="R124" s="78"/>
      <c r="S124" s="73"/>
      <c r="T124" s="79"/>
      <c r="U124" s="75">
        <f t="shared" si="32"/>
        <v>0</v>
      </c>
      <c r="V124" s="80" t="str">
        <f t="shared" si="33"/>
        <v/>
      </c>
      <c r="W124" s="81" t="str">
        <f t="shared" si="34"/>
        <v/>
      </c>
      <c r="X124" s="78"/>
      <c r="Y124" s="73"/>
      <c r="Z124" s="79"/>
      <c r="AA124" s="75">
        <f t="shared" si="35"/>
        <v>0</v>
      </c>
      <c r="AB124" s="80" t="str">
        <f t="shared" si="36"/>
        <v/>
      </c>
      <c r="AC124" s="81" t="str">
        <f t="shared" si="37"/>
        <v/>
      </c>
    </row>
    <row r="125" spans="1:29">
      <c r="A125" s="3"/>
      <c r="B125" s="85"/>
      <c r="C125" s="86"/>
      <c r="D125" s="87"/>
      <c r="E125" s="86"/>
      <c r="F125" s="86"/>
      <c r="G125" s="86"/>
      <c r="H125" s="88"/>
      <c r="I125" s="88"/>
      <c r="J125" s="89">
        <f>SUBTOTAL(9,I113:I124)</f>
        <v>0</v>
      </c>
      <c r="K125" s="77"/>
      <c r="L125" s="78"/>
      <c r="M125" s="73"/>
      <c r="N125" s="79"/>
      <c r="O125" s="75">
        <f t="shared" si="29"/>
        <v>0</v>
      </c>
      <c r="P125" s="80" t="str">
        <f t="shared" si="30"/>
        <v/>
      </c>
      <c r="Q125" s="81" t="str">
        <f t="shared" si="31"/>
        <v/>
      </c>
      <c r="R125" s="78"/>
      <c r="S125" s="73"/>
      <c r="T125" s="79"/>
      <c r="U125" s="75">
        <f t="shared" si="32"/>
        <v>0</v>
      </c>
      <c r="V125" s="80" t="str">
        <f t="shared" si="33"/>
        <v/>
      </c>
      <c r="W125" s="81" t="str">
        <f t="shared" si="34"/>
        <v/>
      </c>
      <c r="X125" s="78"/>
      <c r="Y125" s="73"/>
      <c r="Z125" s="79"/>
      <c r="AA125" s="75">
        <f t="shared" si="35"/>
        <v>0</v>
      </c>
      <c r="AB125" s="80" t="str">
        <f t="shared" si="36"/>
        <v/>
      </c>
      <c r="AC125" s="81" t="str">
        <f t="shared" si="37"/>
        <v/>
      </c>
    </row>
    <row r="126" spans="1:29">
      <c r="A126" s="3"/>
      <c r="B126" s="90"/>
      <c r="C126" s="73"/>
      <c r="D126" s="73"/>
      <c r="E126" s="73"/>
      <c r="F126" s="73"/>
      <c r="G126" s="73"/>
      <c r="H126" s="75"/>
      <c r="I126" s="75"/>
      <c r="J126" s="76"/>
      <c r="K126" s="77"/>
      <c r="L126" s="78"/>
      <c r="M126" s="73"/>
      <c r="N126" s="79"/>
      <c r="O126" s="75">
        <f t="shared" si="29"/>
        <v>0</v>
      </c>
      <c r="P126" s="80" t="str">
        <f t="shared" si="30"/>
        <v/>
      </c>
      <c r="Q126" s="81" t="str">
        <f t="shared" si="31"/>
        <v/>
      </c>
      <c r="R126" s="78"/>
      <c r="S126" s="73"/>
      <c r="T126" s="79"/>
      <c r="U126" s="75">
        <f t="shared" si="32"/>
        <v>0</v>
      </c>
      <c r="V126" s="80" t="str">
        <f t="shared" si="33"/>
        <v/>
      </c>
      <c r="W126" s="81" t="str">
        <f t="shared" si="34"/>
        <v/>
      </c>
      <c r="X126" s="78"/>
      <c r="Y126" s="73"/>
      <c r="Z126" s="79"/>
      <c r="AA126" s="75">
        <f t="shared" si="35"/>
        <v>0</v>
      </c>
      <c r="AB126" s="80" t="str">
        <f t="shared" si="36"/>
        <v/>
      </c>
      <c r="AC126" s="81" t="str">
        <f t="shared" si="37"/>
        <v/>
      </c>
    </row>
    <row r="127" spans="1:29">
      <c r="A127" s="3"/>
      <c r="B127" s="72" t="s">
        <v>331</v>
      </c>
      <c r="C127" s="73"/>
      <c r="D127" s="74"/>
      <c r="E127" s="73"/>
      <c r="F127" s="73"/>
      <c r="G127" s="73"/>
      <c r="H127" s="75"/>
      <c r="I127" s="75"/>
      <c r="J127" s="76"/>
      <c r="K127" s="77"/>
      <c r="L127" s="78"/>
      <c r="M127" s="73"/>
      <c r="N127" s="79"/>
      <c r="O127" s="75">
        <f t="shared" si="29"/>
        <v>0</v>
      </c>
      <c r="P127" s="80" t="str">
        <f t="shared" si="30"/>
        <v/>
      </c>
      <c r="Q127" s="81" t="str">
        <f t="shared" si="31"/>
        <v/>
      </c>
      <c r="R127" s="78"/>
      <c r="S127" s="73"/>
      <c r="T127" s="79"/>
      <c r="U127" s="75">
        <f t="shared" si="32"/>
        <v>0</v>
      </c>
      <c r="V127" s="80" t="str">
        <f t="shared" si="33"/>
        <v/>
      </c>
      <c r="W127" s="81" t="str">
        <f t="shared" si="34"/>
        <v/>
      </c>
      <c r="X127" s="78"/>
      <c r="Y127" s="73"/>
      <c r="Z127" s="79"/>
      <c r="AA127" s="75">
        <f t="shared" si="35"/>
        <v>0</v>
      </c>
      <c r="AB127" s="80" t="str">
        <f t="shared" si="36"/>
        <v/>
      </c>
      <c r="AC127" s="81" t="str">
        <f t="shared" si="37"/>
        <v/>
      </c>
    </row>
    <row r="128" spans="1:29">
      <c r="A128" s="3"/>
      <c r="B128" s="83" t="str">
        <f>[1]!ArticleCode(Art_42.)</f>
        <v>42.</v>
      </c>
      <c r="C128" s="84" t="str">
        <f>[1]!ArticleDescription(Art_42.)</f>
        <v>GEVELBEKLEDINGEN</v>
      </c>
      <c r="D128" s="73"/>
      <c r="E128" s="73"/>
      <c r="F128" s="73"/>
      <c r="G128" s="73"/>
      <c r="H128" s="75"/>
      <c r="I128" s="75"/>
      <c r="J128" s="76"/>
      <c r="K128" s="77"/>
      <c r="L128" s="78"/>
      <c r="M128" s="73"/>
      <c r="N128" s="79"/>
      <c r="O128" s="75">
        <f t="shared" si="29"/>
        <v>0</v>
      </c>
      <c r="P128" s="80" t="str">
        <f t="shared" si="30"/>
        <v/>
      </c>
      <c r="Q128" s="81" t="str">
        <f t="shared" si="31"/>
        <v/>
      </c>
      <c r="R128" s="78"/>
      <c r="S128" s="73"/>
      <c r="T128" s="79"/>
      <c r="U128" s="75">
        <f t="shared" si="32"/>
        <v>0</v>
      </c>
      <c r="V128" s="80" t="str">
        <f t="shared" si="33"/>
        <v/>
      </c>
      <c r="W128" s="81" t="str">
        <f t="shared" si="34"/>
        <v/>
      </c>
      <c r="X128" s="78"/>
      <c r="Y128" s="73"/>
      <c r="Z128" s="79"/>
      <c r="AA128" s="75">
        <f t="shared" si="35"/>
        <v>0</v>
      </c>
      <c r="AB128" s="80" t="str">
        <f t="shared" si="36"/>
        <v/>
      </c>
      <c r="AC128" s="81" t="str">
        <f t="shared" si="37"/>
        <v/>
      </c>
    </row>
    <row r="129" spans="1:29">
      <c r="A129" s="3"/>
      <c r="B129" s="83" t="str">
        <f>[1]!ArticleCode(Art_42.00.)</f>
        <v>42.00.</v>
      </c>
      <c r="C129" s="84" t="str">
        <f>[1]!ArticleDescription(Art_42.00.)</f>
        <v>gevelbekledingen - algemeen</v>
      </c>
      <c r="D129" s="73"/>
      <c r="E129" s="73"/>
      <c r="F129" s="73"/>
      <c r="G129" s="73"/>
      <c r="H129" s="75"/>
      <c r="I129" s="75"/>
      <c r="J129" s="76"/>
      <c r="K129" s="77"/>
      <c r="L129" s="78"/>
      <c r="M129" s="73"/>
      <c r="N129" s="79"/>
      <c r="O129" s="75">
        <f t="shared" si="29"/>
        <v>0</v>
      </c>
      <c r="P129" s="80" t="str">
        <f t="shared" si="30"/>
        <v/>
      </c>
      <c r="Q129" s="81" t="str">
        <f t="shared" si="31"/>
        <v/>
      </c>
      <c r="R129" s="78"/>
      <c r="S129" s="73"/>
      <c r="T129" s="79"/>
      <c r="U129" s="75">
        <f t="shared" si="32"/>
        <v>0</v>
      </c>
      <c r="V129" s="80" t="str">
        <f t="shared" si="33"/>
        <v/>
      </c>
      <c r="W129" s="81" t="str">
        <f t="shared" si="34"/>
        <v/>
      </c>
      <c r="X129" s="78"/>
      <c r="Y129" s="73"/>
      <c r="Z129" s="79"/>
      <c r="AA129" s="75">
        <f t="shared" si="35"/>
        <v>0</v>
      </c>
      <c r="AB129" s="80" t="str">
        <f t="shared" si="36"/>
        <v/>
      </c>
      <c r="AC129" s="81" t="str">
        <f t="shared" si="37"/>
        <v/>
      </c>
    </row>
    <row r="130" spans="1:29">
      <c r="A130" s="3"/>
      <c r="B130" s="83" t="str">
        <f>[1]!ArticleCode(Art_42.10.)</f>
        <v>42.10.</v>
      </c>
      <c r="C130" s="84" t="str">
        <f>[1]!ArticleDescription(Art_42.10.)</f>
        <v>regelstructuur – algemeen</v>
      </c>
      <c r="D130" s="73"/>
      <c r="E130" s="73"/>
      <c r="F130" s="73"/>
      <c r="G130" s="73"/>
      <c r="H130" s="75"/>
      <c r="I130" s="75"/>
      <c r="J130" s="76"/>
      <c r="K130" s="77"/>
      <c r="L130" s="78"/>
      <c r="M130" s="73"/>
      <c r="N130" s="79"/>
      <c r="O130" s="75">
        <f t="shared" si="29"/>
        <v>0</v>
      </c>
      <c r="P130" s="80" t="str">
        <f t="shared" si="30"/>
        <v/>
      </c>
      <c r="Q130" s="81" t="str">
        <f t="shared" si="31"/>
        <v/>
      </c>
      <c r="R130" s="78"/>
      <c r="S130" s="73"/>
      <c r="T130" s="79"/>
      <c r="U130" s="75">
        <f t="shared" si="32"/>
        <v>0</v>
      </c>
      <c r="V130" s="80" t="str">
        <f t="shared" si="33"/>
        <v/>
      </c>
      <c r="W130" s="81" t="str">
        <f t="shared" si="34"/>
        <v/>
      </c>
      <c r="X130" s="78"/>
      <c r="Y130" s="73"/>
      <c r="Z130" s="79"/>
      <c r="AA130" s="75">
        <f t="shared" si="35"/>
        <v>0</v>
      </c>
      <c r="AB130" s="80" t="str">
        <f t="shared" si="36"/>
        <v/>
      </c>
      <c r="AC130" s="81" t="str">
        <f t="shared" si="37"/>
        <v/>
      </c>
    </row>
    <row r="131" spans="1:29">
      <c r="A131" s="3">
        <f>A124+1</f>
        <v>41</v>
      </c>
      <c r="B131" s="83" t="str">
        <f>[1]!ArticleCode(Art_42.11.)</f>
        <v>42.11.</v>
      </c>
      <c r="C131" s="84" t="str">
        <f>[1]!ArticleDescription(Art_42.11.)</f>
        <v>regelstructuur - hout</v>
      </c>
      <c r="D131" s="73" t="str">
        <f>[1]!ArticleMeasureType(Art_42.11.)</f>
        <v>PM</v>
      </c>
      <c r="E131" s="73" t="str">
        <f>[1]!ArticleMeasureUnit(Art_42.11.)</f>
        <v/>
      </c>
      <c r="F131" s="91" t="str">
        <f>[1]!ArticleQuantity(Art_42.11.)</f>
        <v/>
      </c>
      <c r="G131" s="73"/>
      <c r="H131" s="75"/>
      <c r="I131" s="75">
        <f>IF(RIGHT($D131,1)="-","************",ROUND(IF(NOT(ISNUMBER(G131)),IF(NOT(ISNUMBER(F131)),1,F131),G131)*H131,2))</f>
        <v>0</v>
      </c>
      <c r="J131" s="76"/>
      <c r="K131" s="77"/>
      <c r="L131" s="78"/>
      <c r="M131" s="73"/>
      <c r="N131" s="79"/>
      <c r="O131" s="75">
        <f t="shared" si="29"/>
        <v>0</v>
      </c>
      <c r="P131" s="80" t="str">
        <f t="shared" si="30"/>
        <v/>
      </c>
      <c r="Q131" s="81" t="str">
        <f t="shared" si="31"/>
        <v/>
      </c>
      <c r="R131" s="78"/>
      <c r="S131" s="73"/>
      <c r="T131" s="79"/>
      <c r="U131" s="75">
        <f t="shared" si="32"/>
        <v>0</v>
      </c>
      <c r="V131" s="80" t="str">
        <f t="shared" si="33"/>
        <v/>
      </c>
      <c r="W131" s="81" t="str">
        <f t="shared" si="34"/>
        <v/>
      </c>
      <c r="X131" s="78"/>
      <c r="Y131" s="73"/>
      <c r="Z131" s="79"/>
      <c r="AA131" s="75">
        <f t="shared" si="35"/>
        <v>0</v>
      </c>
      <c r="AB131" s="80" t="str">
        <f t="shared" si="36"/>
        <v/>
      </c>
      <c r="AC131" s="81" t="str">
        <f t="shared" si="37"/>
        <v/>
      </c>
    </row>
    <row r="132" spans="1:29">
      <c r="A132" s="3"/>
      <c r="B132" s="83" t="str">
        <f>[1]!ArticleCode(Art_42.30.)</f>
        <v>42.30.</v>
      </c>
      <c r="C132" s="84" t="str">
        <f>[1]!ArticleDescription(Art_42.30.)</f>
        <v>buitenfolie – algemeen</v>
      </c>
      <c r="D132" s="73"/>
      <c r="E132" s="73"/>
      <c r="F132" s="73"/>
      <c r="G132" s="73"/>
      <c r="H132" s="75"/>
      <c r="I132" s="75"/>
      <c r="J132" s="76"/>
      <c r="K132" s="77"/>
      <c r="L132" s="78"/>
      <c r="M132" s="73"/>
      <c r="N132" s="79"/>
      <c r="O132" s="75">
        <f t="shared" si="29"/>
        <v>0</v>
      </c>
      <c r="P132" s="80" t="str">
        <f t="shared" si="30"/>
        <v/>
      </c>
      <c r="Q132" s="81" t="str">
        <f t="shared" si="31"/>
        <v/>
      </c>
      <c r="R132" s="78"/>
      <c r="S132" s="73"/>
      <c r="T132" s="79"/>
      <c r="U132" s="75">
        <f t="shared" si="32"/>
        <v>0</v>
      </c>
      <c r="V132" s="80" t="str">
        <f t="shared" si="33"/>
        <v/>
      </c>
      <c r="W132" s="81" t="str">
        <f t="shared" si="34"/>
        <v/>
      </c>
      <c r="X132" s="78"/>
      <c r="Y132" s="73"/>
      <c r="Z132" s="79"/>
      <c r="AA132" s="75">
        <f t="shared" si="35"/>
        <v>0</v>
      </c>
      <c r="AB132" s="80" t="str">
        <f t="shared" si="36"/>
        <v/>
      </c>
      <c r="AC132" s="81" t="str">
        <f t="shared" si="37"/>
        <v/>
      </c>
    </row>
    <row r="133" spans="1:29">
      <c r="A133" s="3">
        <f>A131+1</f>
        <v>42</v>
      </c>
      <c r="B133" s="83" t="str">
        <f>[1]!ArticleCode(Art_42.31.)</f>
        <v>42.31.</v>
      </c>
      <c r="C133" s="84" t="str">
        <f>[1]!ArticleDescription(Art_42.31.)</f>
        <v>buitenfolie – gevelfolie</v>
      </c>
      <c r="D133" s="73" t="str">
        <f>[1]!ArticleMeasureType(Art_42.31.)</f>
        <v>FH</v>
      </c>
      <c r="E133" s="73" t="str">
        <f>[1]!ArticleMeasureUnit(Art_42.31.)</f>
        <v>m2</v>
      </c>
      <c r="F133" s="92">
        <f>[1]!ArticleQuantity(Art_42.31.)</f>
        <v>39.6</v>
      </c>
      <c r="G133" s="73"/>
      <c r="H133" s="75"/>
      <c r="I133" s="75">
        <f>IF(RIGHT($D133,1)="-","************",ROUND(IF(NOT(ISNUMBER(G133)),IF(NOT(ISNUMBER(F133)),1,F133),G133)*H133,2))</f>
        <v>0</v>
      </c>
      <c r="J133" s="76"/>
      <c r="K133" s="77"/>
      <c r="L133" s="78"/>
      <c r="M133" s="73"/>
      <c r="N133" s="79"/>
      <c r="O133" s="75">
        <f t="shared" si="29"/>
        <v>0</v>
      </c>
      <c r="P133" s="80" t="str">
        <f t="shared" si="30"/>
        <v/>
      </c>
      <c r="Q133" s="81" t="str">
        <f t="shared" si="31"/>
        <v/>
      </c>
      <c r="R133" s="78"/>
      <c r="S133" s="73"/>
      <c r="T133" s="79"/>
      <c r="U133" s="75">
        <f t="shared" si="32"/>
        <v>0</v>
      </c>
      <c r="V133" s="80" t="str">
        <f t="shared" si="33"/>
        <v/>
      </c>
      <c r="W133" s="81" t="str">
        <f t="shared" si="34"/>
        <v/>
      </c>
      <c r="X133" s="78"/>
      <c r="Y133" s="73"/>
      <c r="Z133" s="79"/>
      <c r="AA133" s="75">
        <f t="shared" si="35"/>
        <v>0</v>
      </c>
      <c r="AB133" s="80" t="str">
        <f t="shared" si="36"/>
        <v/>
      </c>
      <c r="AC133" s="81" t="str">
        <f t="shared" si="37"/>
        <v/>
      </c>
    </row>
    <row r="134" spans="1:29">
      <c r="A134" s="3"/>
      <c r="B134" s="83" t="str">
        <f>[1]!ArticleCode(Art_42.40.)</f>
        <v>42.40.</v>
      </c>
      <c r="C134" s="84" t="str">
        <f>[1]!ArticleDescription(Art_42.40.)</f>
        <v>bekledingspanelen - algemeen</v>
      </c>
      <c r="D134" s="73"/>
      <c r="E134" s="73"/>
      <c r="F134" s="73"/>
      <c r="G134" s="73"/>
      <c r="H134" s="75"/>
      <c r="I134" s="75"/>
      <c r="J134" s="76"/>
      <c r="K134" s="77"/>
      <c r="L134" s="78"/>
      <c r="M134" s="73"/>
      <c r="N134" s="79"/>
      <c r="O134" s="75">
        <f t="shared" si="29"/>
        <v>0</v>
      </c>
      <c r="P134" s="80" t="str">
        <f t="shared" si="30"/>
        <v/>
      </c>
      <c r="Q134" s="81" t="str">
        <f t="shared" si="31"/>
        <v/>
      </c>
      <c r="R134" s="78"/>
      <c r="S134" s="73"/>
      <c r="T134" s="79"/>
      <c r="U134" s="75">
        <f t="shared" si="32"/>
        <v>0</v>
      </c>
      <c r="V134" s="80" t="str">
        <f t="shared" si="33"/>
        <v/>
      </c>
      <c r="W134" s="81" t="str">
        <f t="shared" si="34"/>
        <v/>
      </c>
      <c r="X134" s="78"/>
      <c r="Y134" s="73"/>
      <c r="Z134" s="79"/>
      <c r="AA134" s="75">
        <f t="shared" si="35"/>
        <v>0</v>
      </c>
      <c r="AB134" s="80" t="str">
        <f t="shared" si="36"/>
        <v/>
      </c>
      <c r="AC134" s="81" t="str">
        <f t="shared" si="37"/>
        <v/>
      </c>
    </row>
    <row r="135" spans="1:29">
      <c r="A135" s="3">
        <f>A133+1</f>
        <v>43</v>
      </c>
      <c r="B135" s="83" t="str">
        <f>[1]!ArticleCode(Art_42.41.)</f>
        <v>42.41.</v>
      </c>
      <c r="C135" s="84" t="str">
        <f>[1]!ArticleDescription(Art_42.41.)</f>
        <v>bekledingspanelen – HPL</v>
      </c>
      <c r="D135" s="73" t="str">
        <f>[1]!ArticleMeasureType(Art_42.41.)</f>
        <v>FH</v>
      </c>
      <c r="E135" s="73" t="str">
        <f>[1]!ArticleMeasureUnit(Art_42.41.)</f>
        <v>m2</v>
      </c>
      <c r="F135" s="92">
        <f>[1]!ArticleQuantity(Art_42.41.)</f>
        <v>39.6</v>
      </c>
      <c r="G135" s="73"/>
      <c r="H135" s="75"/>
      <c r="I135" s="75">
        <f>IF(RIGHT($D135,1)="-","************",ROUND(IF(NOT(ISNUMBER(G135)),IF(NOT(ISNUMBER(F135)),1,F135),G135)*H135,2))</f>
        <v>0</v>
      </c>
      <c r="J135" s="76"/>
      <c r="K135" s="77"/>
      <c r="L135" s="78"/>
      <c r="M135" s="73"/>
      <c r="N135" s="79"/>
      <c r="O135" s="75">
        <f t="shared" si="29"/>
        <v>0</v>
      </c>
      <c r="P135" s="80" t="str">
        <f t="shared" si="30"/>
        <v/>
      </c>
      <c r="Q135" s="81" t="str">
        <f t="shared" si="31"/>
        <v/>
      </c>
      <c r="R135" s="78"/>
      <c r="S135" s="73"/>
      <c r="T135" s="79"/>
      <c r="U135" s="75">
        <f t="shared" si="32"/>
        <v>0</v>
      </c>
      <c r="V135" s="80" t="str">
        <f t="shared" si="33"/>
        <v/>
      </c>
      <c r="W135" s="81" t="str">
        <f t="shared" si="34"/>
        <v/>
      </c>
      <c r="X135" s="78"/>
      <c r="Y135" s="73"/>
      <c r="Z135" s="79"/>
      <c r="AA135" s="75">
        <f t="shared" si="35"/>
        <v>0</v>
      </c>
      <c r="AB135" s="80" t="str">
        <f t="shared" si="36"/>
        <v/>
      </c>
      <c r="AC135" s="81" t="str">
        <f t="shared" si="37"/>
        <v/>
      </c>
    </row>
    <row r="136" spans="1:29">
      <c r="A136" s="3"/>
      <c r="B136" s="85"/>
      <c r="C136" s="86"/>
      <c r="D136" s="87"/>
      <c r="E136" s="86"/>
      <c r="F136" s="86"/>
      <c r="G136" s="86"/>
      <c r="H136" s="88"/>
      <c r="I136" s="88"/>
      <c r="J136" s="89">
        <f>SUBTOTAL(9,I128:I135)</f>
        <v>0</v>
      </c>
      <c r="K136" s="77"/>
      <c r="L136" s="78"/>
      <c r="M136" s="73"/>
      <c r="N136" s="79"/>
      <c r="O136" s="75">
        <f t="shared" si="29"/>
        <v>0</v>
      </c>
      <c r="P136" s="80" t="str">
        <f t="shared" si="30"/>
        <v/>
      </c>
      <c r="Q136" s="81" t="str">
        <f t="shared" si="31"/>
        <v/>
      </c>
      <c r="R136" s="78"/>
      <c r="S136" s="73"/>
      <c r="T136" s="79"/>
      <c r="U136" s="75">
        <f t="shared" si="32"/>
        <v>0</v>
      </c>
      <c r="V136" s="80" t="str">
        <f t="shared" si="33"/>
        <v/>
      </c>
      <c r="W136" s="81" t="str">
        <f t="shared" si="34"/>
        <v/>
      </c>
      <c r="X136" s="78"/>
      <c r="Y136" s="73"/>
      <c r="Z136" s="79"/>
      <c r="AA136" s="75">
        <f t="shared" si="35"/>
        <v>0</v>
      </c>
      <c r="AB136" s="80" t="str">
        <f t="shared" si="36"/>
        <v/>
      </c>
      <c r="AC136" s="81" t="str">
        <f t="shared" si="37"/>
        <v/>
      </c>
    </row>
    <row r="137" spans="1:29">
      <c r="A137" s="3"/>
      <c r="B137" s="90"/>
      <c r="C137" s="73"/>
      <c r="D137" s="73"/>
      <c r="E137" s="73"/>
      <c r="F137" s="73"/>
      <c r="G137" s="73"/>
      <c r="H137" s="75"/>
      <c r="I137" s="75"/>
      <c r="J137" s="76"/>
      <c r="K137" s="77"/>
      <c r="L137" s="78"/>
      <c r="M137" s="73"/>
      <c r="N137" s="79"/>
      <c r="O137" s="75">
        <f t="shared" si="29"/>
        <v>0</v>
      </c>
      <c r="P137" s="80" t="str">
        <f t="shared" si="30"/>
        <v/>
      </c>
      <c r="Q137" s="81" t="str">
        <f t="shared" si="31"/>
        <v/>
      </c>
      <c r="R137" s="78"/>
      <c r="S137" s="73"/>
      <c r="T137" s="79"/>
      <c r="U137" s="75">
        <f t="shared" si="32"/>
        <v>0</v>
      </c>
      <c r="V137" s="80" t="str">
        <f t="shared" si="33"/>
        <v/>
      </c>
      <c r="W137" s="81" t="str">
        <f t="shared" si="34"/>
        <v/>
      </c>
      <c r="X137" s="78"/>
      <c r="Y137" s="73"/>
      <c r="Z137" s="79"/>
      <c r="AA137" s="75">
        <f t="shared" si="35"/>
        <v>0</v>
      </c>
      <c r="AB137" s="80" t="str">
        <f t="shared" si="36"/>
        <v/>
      </c>
      <c r="AC137" s="81" t="str">
        <f t="shared" si="37"/>
        <v/>
      </c>
    </row>
    <row r="138" spans="1:29">
      <c r="A138" s="3"/>
      <c r="B138" s="72" t="s">
        <v>332</v>
      </c>
      <c r="C138" s="73"/>
      <c r="D138" s="74"/>
      <c r="E138" s="73"/>
      <c r="F138" s="73"/>
      <c r="G138" s="73"/>
      <c r="H138" s="75"/>
      <c r="I138" s="75"/>
      <c r="J138" s="76"/>
      <c r="K138" s="77"/>
      <c r="L138" s="78"/>
      <c r="M138" s="73"/>
      <c r="N138" s="79"/>
      <c r="O138" s="75">
        <f t="shared" ref="O138:O169" si="38">IF(MID($D138,3,1)="-","*********",ROUND(IF(NOT(ISNUMBER($G138)),IF(NOT(ISNUMBER($F138)),1,$F138),$G138)*(IF(NOT(ISNUMBER(N138)),L138,N138)),2))</f>
        <v>0</v>
      </c>
      <c r="P138" s="80" t="str">
        <f t="shared" ref="P138:P169" si="39">IF(O$187=0,"",O138/O$187)</f>
        <v/>
      </c>
      <c r="Q138" s="81" t="str">
        <f t="shared" ref="Q138:Q169" si="40">IF($K138=0,"",IF(NOT(ISNUMBER(N138)),L138,N138)/$K138-1)</f>
        <v/>
      </c>
      <c r="R138" s="78"/>
      <c r="S138" s="73"/>
      <c r="T138" s="79"/>
      <c r="U138" s="75">
        <f t="shared" ref="U138:U169" si="41">IF(MID($D138,3,1)="-","*********",ROUND(IF(NOT(ISNUMBER($G138)),IF(NOT(ISNUMBER($F138)),1,$F138),$G138)*(IF(NOT(ISNUMBER(T138)),R138,T138)),2))</f>
        <v>0</v>
      </c>
      <c r="V138" s="80" t="str">
        <f t="shared" ref="V138:V169" si="42">IF(U$187=0,"",U138/U$187)</f>
        <v/>
      </c>
      <c r="W138" s="81" t="str">
        <f t="shared" ref="W138:W169" si="43">IF($K138=0,"",IF(NOT(ISNUMBER(T138)),R138,T138)/$K138-1)</f>
        <v/>
      </c>
      <c r="X138" s="78"/>
      <c r="Y138" s="73"/>
      <c r="Z138" s="79"/>
      <c r="AA138" s="75">
        <f t="shared" ref="AA138:AA169" si="44">IF(MID($D138,3,1)="-","*********",ROUND(IF(NOT(ISNUMBER($G138)),IF(NOT(ISNUMBER($F138)),1,$F138),$G138)*(IF(NOT(ISNUMBER(Z138)),X138,Z138)),2))</f>
        <v>0</v>
      </c>
      <c r="AB138" s="80" t="str">
        <f t="shared" ref="AB138:AB169" si="45">IF(AA$187=0,"",AA138/AA$187)</f>
        <v/>
      </c>
      <c r="AC138" s="81" t="str">
        <f t="shared" ref="AC138:AC169" si="46">IF($K138=0,"",IF(NOT(ISNUMBER(Z138)),X138,Z138)/$K138-1)</f>
        <v/>
      </c>
    </row>
    <row r="139" spans="1:29">
      <c r="A139" s="3"/>
      <c r="B139" s="83" t="str">
        <f>[1]!ArticleCode(Art_51.)</f>
        <v>51.</v>
      </c>
      <c r="C139" s="84" t="str">
        <f>[1]!ArticleDescription(Art_51.)</f>
        <v>BINNENPLAATAFWERKINGEN</v>
      </c>
      <c r="D139" s="73"/>
      <c r="E139" s="73"/>
      <c r="F139" s="73"/>
      <c r="G139" s="73"/>
      <c r="H139" s="75"/>
      <c r="I139" s="75"/>
      <c r="J139" s="76"/>
      <c r="K139" s="77"/>
      <c r="L139" s="78"/>
      <c r="M139" s="73"/>
      <c r="N139" s="79"/>
      <c r="O139" s="75">
        <f t="shared" si="38"/>
        <v>0</v>
      </c>
      <c r="P139" s="80" t="str">
        <f t="shared" si="39"/>
        <v/>
      </c>
      <c r="Q139" s="81" t="str">
        <f t="shared" si="40"/>
        <v/>
      </c>
      <c r="R139" s="78"/>
      <c r="S139" s="73"/>
      <c r="T139" s="79"/>
      <c r="U139" s="75">
        <f t="shared" si="41"/>
        <v>0</v>
      </c>
      <c r="V139" s="80" t="str">
        <f t="shared" si="42"/>
        <v/>
      </c>
      <c r="W139" s="81" t="str">
        <f t="shared" si="43"/>
        <v/>
      </c>
      <c r="X139" s="78"/>
      <c r="Y139" s="73"/>
      <c r="Z139" s="79"/>
      <c r="AA139" s="75">
        <f t="shared" si="44"/>
        <v>0</v>
      </c>
      <c r="AB139" s="80" t="str">
        <f t="shared" si="45"/>
        <v/>
      </c>
      <c r="AC139" s="81" t="str">
        <f t="shared" si="46"/>
        <v/>
      </c>
    </row>
    <row r="140" spans="1:29">
      <c r="A140" s="3"/>
      <c r="B140" s="83" t="str">
        <f>[1]!ArticleCode(Art_51.00.)</f>
        <v>51.00.</v>
      </c>
      <c r="C140" s="84" t="str">
        <f>[1]!ArticleDescription(Art_51.00.)</f>
        <v>binnenplaatafwerkingen - algemeen</v>
      </c>
      <c r="D140" s="73"/>
      <c r="E140" s="73"/>
      <c r="F140" s="73"/>
      <c r="G140" s="73"/>
      <c r="H140" s="75"/>
      <c r="I140" s="75"/>
      <c r="J140" s="76"/>
      <c r="K140" s="77"/>
      <c r="L140" s="78"/>
      <c r="M140" s="73"/>
      <c r="N140" s="79"/>
      <c r="O140" s="75">
        <f t="shared" si="38"/>
        <v>0</v>
      </c>
      <c r="P140" s="80" t="str">
        <f t="shared" si="39"/>
        <v/>
      </c>
      <c r="Q140" s="81" t="str">
        <f t="shared" si="40"/>
        <v/>
      </c>
      <c r="R140" s="78"/>
      <c r="S140" s="73"/>
      <c r="T140" s="79"/>
      <c r="U140" s="75">
        <f t="shared" si="41"/>
        <v>0</v>
      </c>
      <c r="V140" s="80" t="str">
        <f t="shared" si="42"/>
        <v/>
      </c>
      <c r="W140" s="81" t="str">
        <f t="shared" si="43"/>
        <v/>
      </c>
      <c r="X140" s="78"/>
      <c r="Y140" s="73"/>
      <c r="Z140" s="79"/>
      <c r="AA140" s="75">
        <f t="shared" si="44"/>
        <v>0</v>
      </c>
      <c r="AB140" s="80" t="str">
        <f t="shared" si="45"/>
        <v/>
      </c>
      <c r="AC140" s="81" t="str">
        <f t="shared" si="46"/>
        <v/>
      </c>
    </row>
    <row r="141" spans="1:29">
      <c r="A141" s="3"/>
      <c r="B141" s="83" t="str">
        <f>[1]!ArticleCode(Art_51.10.)</f>
        <v>51.10.</v>
      </c>
      <c r="C141" s="84" t="str">
        <f>[1]!ArticleDescription(Art_51.10.)</f>
        <v>lichte scheidingswanden - algemeen</v>
      </c>
      <c r="D141" s="73"/>
      <c r="E141" s="73"/>
      <c r="F141" s="73"/>
      <c r="G141" s="73"/>
      <c r="H141" s="75"/>
      <c r="I141" s="75"/>
      <c r="J141" s="76"/>
      <c r="K141" s="77"/>
      <c r="L141" s="78"/>
      <c r="M141" s="73"/>
      <c r="N141" s="79"/>
      <c r="O141" s="75">
        <f t="shared" si="38"/>
        <v>0</v>
      </c>
      <c r="P141" s="80" t="str">
        <f t="shared" si="39"/>
        <v/>
      </c>
      <c r="Q141" s="81" t="str">
        <f t="shared" si="40"/>
        <v/>
      </c>
      <c r="R141" s="78"/>
      <c r="S141" s="73"/>
      <c r="T141" s="79"/>
      <c r="U141" s="75">
        <f t="shared" si="41"/>
        <v>0</v>
      </c>
      <c r="V141" s="80" t="str">
        <f t="shared" si="42"/>
        <v/>
      </c>
      <c r="W141" s="81" t="str">
        <f t="shared" si="43"/>
        <v/>
      </c>
      <c r="X141" s="78"/>
      <c r="Y141" s="73"/>
      <c r="Z141" s="79"/>
      <c r="AA141" s="75">
        <f t="shared" si="44"/>
        <v>0</v>
      </c>
      <c r="AB141" s="80" t="str">
        <f t="shared" si="45"/>
        <v/>
      </c>
      <c r="AC141" s="81" t="str">
        <f t="shared" si="46"/>
        <v/>
      </c>
    </row>
    <row r="142" spans="1:29">
      <c r="A142" s="3"/>
      <c r="B142" s="83" t="str">
        <f>[1]!ArticleCode(Art_51.11.)</f>
        <v>51.11.</v>
      </c>
      <c r="C142" s="84" t="str">
        <f>[1]!ArticleDescription(Art_51.11.)</f>
        <v>lichte scheidingswanden – gipskartonplaten met achterliggende OSB (enkel levering)</v>
      </c>
      <c r="D142" s="73"/>
      <c r="E142" s="73"/>
      <c r="F142" s="73"/>
      <c r="G142" s="73"/>
      <c r="H142" s="75"/>
      <c r="I142" s="75"/>
      <c r="J142" s="76"/>
      <c r="K142" s="77"/>
      <c r="L142" s="78"/>
      <c r="M142" s="73"/>
      <c r="N142" s="79"/>
      <c r="O142" s="75">
        <f t="shared" si="38"/>
        <v>0</v>
      </c>
      <c r="P142" s="80" t="str">
        <f t="shared" si="39"/>
        <v/>
      </c>
      <c r="Q142" s="81" t="str">
        <f t="shared" si="40"/>
        <v/>
      </c>
      <c r="R142" s="78"/>
      <c r="S142" s="73"/>
      <c r="T142" s="79"/>
      <c r="U142" s="75">
        <f t="shared" si="41"/>
        <v>0</v>
      </c>
      <c r="V142" s="80" t="str">
        <f t="shared" si="42"/>
        <v/>
      </c>
      <c r="W142" s="81" t="str">
        <f t="shared" si="43"/>
        <v/>
      </c>
      <c r="X142" s="78"/>
      <c r="Y142" s="73"/>
      <c r="Z142" s="79"/>
      <c r="AA142" s="75">
        <f t="shared" si="44"/>
        <v>0</v>
      </c>
      <c r="AB142" s="80" t="str">
        <f t="shared" si="45"/>
        <v/>
      </c>
      <c r="AC142" s="81" t="str">
        <f t="shared" si="46"/>
        <v/>
      </c>
    </row>
    <row r="143" spans="1:29">
      <c r="A143" s="3">
        <f>A135+1</f>
        <v>44</v>
      </c>
      <c r="B143" s="83" t="str">
        <f>[1]!ArticleCode(Art_51.11.10)</f>
        <v>51.11.10</v>
      </c>
      <c r="C143" s="84" t="str">
        <f>[1]!ArticleDescription(Art_51.11.10)</f>
        <v>lichte scheidingswanden – gipskartonplaten met achterliggende OSB (enkel levering) – type A</v>
      </c>
      <c r="D143" s="73" t="str">
        <f>[1]!ArticleMeasureType(Art_51.11.10)</f>
        <v>FH</v>
      </c>
      <c r="E143" s="73" t="str">
        <f>[1]!ArticleMeasureUnit(Art_51.11.10)</f>
        <v>m2</v>
      </c>
      <c r="F143" s="92">
        <f>[1]!ArticleQuantity(Art_51.11.10)</f>
        <v>5.59</v>
      </c>
      <c r="G143" s="73"/>
      <c r="H143" s="75"/>
      <c r="I143" s="75">
        <f>IF(RIGHT($D143,1)="-","************",ROUND(IF(NOT(ISNUMBER(G143)),IF(NOT(ISNUMBER(F143)),1,F143),G143)*H143,2))</f>
        <v>0</v>
      </c>
      <c r="J143" s="76"/>
      <c r="K143" s="77"/>
      <c r="L143" s="78"/>
      <c r="M143" s="73"/>
      <c r="N143" s="79"/>
      <c r="O143" s="75">
        <f t="shared" si="38"/>
        <v>0</v>
      </c>
      <c r="P143" s="80" t="str">
        <f t="shared" si="39"/>
        <v/>
      </c>
      <c r="Q143" s="81" t="str">
        <f t="shared" si="40"/>
        <v/>
      </c>
      <c r="R143" s="78"/>
      <c r="S143" s="73"/>
      <c r="T143" s="79"/>
      <c r="U143" s="75">
        <f t="shared" si="41"/>
        <v>0</v>
      </c>
      <c r="V143" s="80" t="str">
        <f t="shared" si="42"/>
        <v/>
      </c>
      <c r="W143" s="81" t="str">
        <f t="shared" si="43"/>
        <v/>
      </c>
      <c r="X143" s="78"/>
      <c r="Y143" s="73"/>
      <c r="Z143" s="79"/>
      <c r="AA143" s="75">
        <f t="shared" si="44"/>
        <v>0</v>
      </c>
      <c r="AB143" s="80" t="str">
        <f t="shared" si="45"/>
        <v/>
      </c>
      <c r="AC143" s="81" t="str">
        <f t="shared" si="46"/>
        <v/>
      </c>
    </row>
    <row r="144" spans="1:29">
      <c r="A144" s="3">
        <f>A143+1</f>
        <v>45</v>
      </c>
      <c r="B144" s="83" t="str">
        <f>[1]!ArticleCode(Art_51.11.20)</f>
        <v>51.11.20</v>
      </c>
      <c r="C144" s="84" t="str">
        <f>[1]!ArticleDescription(Art_51.11.20)</f>
        <v>lichte scheidingswanden – gipskartonplaten met achterliggende OSB (enkel levering) – type F (Rf)</v>
      </c>
      <c r="D144" s="73" t="str">
        <f>[1]!ArticleMeasureType(Art_51.11.20)</f>
        <v>FH</v>
      </c>
      <c r="E144" s="73" t="str">
        <f>[1]!ArticleMeasureUnit(Art_51.11.20)</f>
        <v>m2</v>
      </c>
      <c r="F144" s="92">
        <f>[1]!ArticleQuantity(Art_51.11.20)</f>
        <v>19.07</v>
      </c>
      <c r="G144" s="73"/>
      <c r="H144" s="75"/>
      <c r="I144" s="75">
        <f>IF(RIGHT($D144,1)="-","************",ROUND(IF(NOT(ISNUMBER(G144)),IF(NOT(ISNUMBER(F144)),1,F144),G144)*H144,2))</f>
        <v>0</v>
      </c>
      <c r="J144" s="76"/>
      <c r="K144" s="77"/>
      <c r="L144" s="78"/>
      <c r="M144" s="73"/>
      <c r="N144" s="79"/>
      <c r="O144" s="75">
        <f t="shared" si="38"/>
        <v>0</v>
      </c>
      <c r="P144" s="80" t="str">
        <f t="shared" si="39"/>
        <v/>
      </c>
      <c r="Q144" s="81" t="str">
        <f t="shared" si="40"/>
        <v/>
      </c>
      <c r="R144" s="78"/>
      <c r="S144" s="73"/>
      <c r="T144" s="79"/>
      <c r="U144" s="75">
        <f t="shared" si="41"/>
        <v>0</v>
      </c>
      <c r="V144" s="80" t="str">
        <f t="shared" si="42"/>
        <v/>
      </c>
      <c r="W144" s="81" t="str">
        <f t="shared" si="43"/>
        <v/>
      </c>
      <c r="X144" s="78"/>
      <c r="Y144" s="73"/>
      <c r="Z144" s="79"/>
      <c r="AA144" s="75">
        <f t="shared" si="44"/>
        <v>0</v>
      </c>
      <c r="AB144" s="80" t="str">
        <f t="shared" si="45"/>
        <v/>
      </c>
      <c r="AC144" s="81" t="str">
        <f t="shared" si="46"/>
        <v/>
      </c>
    </row>
    <row r="145" spans="1:29">
      <c r="A145" s="3">
        <f>A144+1</f>
        <v>46</v>
      </c>
      <c r="B145" s="83" t="str">
        <f>[1]!ArticleCode(Art_51.11.30)</f>
        <v>51.11.30</v>
      </c>
      <c r="C145" s="84" t="str">
        <f>[1]!ArticleDescription(Art_51.11.30)</f>
        <v>lichte scheidingswanden – gipskartonplaten met achterliggende OSB (enkel levering) – type H (Wr)</v>
      </c>
      <c r="D145" s="73" t="str">
        <f>[1]!ArticleMeasureType(Art_51.11.30)</f>
        <v>FH</v>
      </c>
      <c r="E145" s="73" t="str">
        <f>[1]!ArticleMeasureUnit(Art_51.11.30)</f>
        <v>m2</v>
      </c>
      <c r="F145" s="92">
        <f>[1]!ArticleQuantity(Art_51.11.30)</f>
        <v>7.86</v>
      </c>
      <c r="G145" s="73"/>
      <c r="H145" s="75"/>
      <c r="I145" s="75">
        <f>IF(RIGHT($D145,1)="-","************",ROUND(IF(NOT(ISNUMBER(G145)),IF(NOT(ISNUMBER(F145)),1,F145),G145)*H145,2))</f>
        <v>0</v>
      </c>
      <c r="J145" s="76"/>
      <c r="K145" s="77"/>
      <c r="L145" s="78"/>
      <c r="M145" s="73"/>
      <c r="N145" s="79"/>
      <c r="O145" s="75">
        <f t="shared" si="38"/>
        <v>0</v>
      </c>
      <c r="P145" s="80" t="str">
        <f t="shared" si="39"/>
        <v/>
      </c>
      <c r="Q145" s="81" t="str">
        <f t="shared" si="40"/>
        <v/>
      </c>
      <c r="R145" s="78"/>
      <c r="S145" s="73"/>
      <c r="T145" s="79"/>
      <c r="U145" s="75">
        <f t="shared" si="41"/>
        <v>0</v>
      </c>
      <c r="V145" s="80" t="str">
        <f t="shared" si="42"/>
        <v/>
      </c>
      <c r="W145" s="81" t="str">
        <f t="shared" si="43"/>
        <v/>
      </c>
      <c r="X145" s="78"/>
      <c r="Y145" s="73"/>
      <c r="Z145" s="79"/>
      <c r="AA145" s="75">
        <f t="shared" si="44"/>
        <v>0</v>
      </c>
      <c r="AB145" s="80" t="str">
        <f t="shared" si="45"/>
        <v/>
      </c>
      <c r="AC145" s="81" t="str">
        <f t="shared" si="46"/>
        <v/>
      </c>
    </row>
    <row r="146" spans="1:29">
      <c r="A146" s="3"/>
      <c r="B146" s="83" t="str">
        <f>[1]!ArticleCode(Art_51.21.)</f>
        <v>51.21.</v>
      </c>
      <c r="C146" s="84" t="str">
        <f>[1]!ArticleDescription(Art_51.21.)</f>
        <v>voorzetwanden – gipskartonplaten (enkel levering)</v>
      </c>
      <c r="D146" s="73"/>
      <c r="E146" s="73"/>
      <c r="F146" s="73"/>
      <c r="G146" s="73"/>
      <c r="H146" s="75"/>
      <c r="I146" s="75"/>
      <c r="J146" s="76"/>
      <c r="K146" s="77"/>
      <c r="L146" s="78"/>
      <c r="M146" s="73"/>
      <c r="N146" s="79"/>
      <c r="O146" s="75">
        <f t="shared" si="38"/>
        <v>0</v>
      </c>
      <c r="P146" s="80" t="str">
        <f t="shared" si="39"/>
        <v/>
      </c>
      <c r="Q146" s="81" t="str">
        <f t="shared" si="40"/>
        <v/>
      </c>
      <c r="R146" s="78"/>
      <c r="S146" s="73"/>
      <c r="T146" s="79"/>
      <c r="U146" s="75">
        <f t="shared" si="41"/>
        <v>0</v>
      </c>
      <c r="V146" s="80" t="str">
        <f t="shared" si="42"/>
        <v/>
      </c>
      <c r="W146" s="81" t="str">
        <f t="shared" si="43"/>
        <v/>
      </c>
      <c r="X146" s="78"/>
      <c r="Y146" s="73"/>
      <c r="Z146" s="79"/>
      <c r="AA146" s="75">
        <f t="shared" si="44"/>
        <v>0</v>
      </c>
      <c r="AB146" s="80" t="str">
        <f t="shared" si="45"/>
        <v/>
      </c>
      <c r="AC146" s="81" t="str">
        <f t="shared" si="46"/>
        <v/>
      </c>
    </row>
    <row r="147" spans="1:29">
      <c r="A147" s="3">
        <f>A145+1</f>
        <v>47</v>
      </c>
      <c r="B147" s="83" t="str">
        <f>[1]!ArticleCode(Art_51.21.10.)</f>
        <v>51.21.10.</v>
      </c>
      <c r="C147" s="84" t="str">
        <f>[1]!ArticleDescription(Art_51.21.10.)</f>
        <v>voorzetwanden – gipskartonplaten/op regelstructuur</v>
      </c>
      <c r="D147" s="73" t="str">
        <f>[1]!ArticleMeasureType(Art_51.21.10.)</f>
        <v>FH</v>
      </c>
      <c r="E147" s="73" t="str">
        <f>[1]!ArticleMeasureUnit(Art_51.21.10.)</f>
        <v>m2</v>
      </c>
      <c r="F147" s="92">
        <f>[1]!ArticleQuantity(Art_51.21.10.)</f>
        <v>33.76</v>
      </c>
      <c r="G147" s="73"/>
      <c r="H147" s="75"/>
      <c r="I147" s="75">
        <f>IF(RIGHT($D147,1)="-","************",ROUND(IF(NOT(ISNUMBER(G147)),IF(NOT(ISNUMBER(F147)),1,F147),G147)*H147,2))</f>
        <v>0</v>
      </c>
      <c r="J147" s="76"/>
      <c r="K147" s="77"/>
      <c r="L147" s="78"/>
      <c r="M147" s="73"/>
      <c r="N147" s="79"/>
      <c r="O147" s="75">
        <f t="shared" si="38"/>
        <v>0</v>
      </c>
      <c r="P147" s="80" t="str">
        <f t="shared" si="39"/>
        <v/>
      </c>
      <c r="Q147" s="81" t="str">
        <f t="shared" si="40"/>
        <v/>
      </c>
      <c r="R147" s="78"/>
      <c r="S147" s="73"/>
      <c r="T147" s="79"/>
      <c r="U147" s="75">
        <f t="shared" si="41"/>
        <v>0</v>
      </c>
      <c r="V147" s="80" t="str">
        <f t="shared" si="42"/>
        <v/>
      </c>
      <c r="W147" s="81" t="str">
        <f t="shared" si="43"/>
        <v/>
      </c>
      <c r="X147" s="78"/>
      <c r="Y147" s="73"/>
      <c r="Z147" s="79"/>
      <c r="AA147" s="75">
        <f t="shared" si="44"/>
        <v>0</v>
      </c>
      <c r="AB147" s="80" t="str">
        <f t="shared" si="45"/>
        <v/>
      </c>
      <c r="AC147" s="81" t="str">
        <f t="shared" si="46"/>
        <v/>
      </c>
    </row>
    <row r="148" spans="1:29">
      <c r="A148" s="3"/>
      <c r="B148" s="83" t="str">
        <f>[1]!ArticleCode(Art_51.50.)</f>
        <v>51.50.</v>
      </c>
      <c r="C148" s="84" t="str">
        <f>[1]!ArticleDescription(Art_51.50.)</f>
        <v>plafondafwerking – algemeen</v>
      </c>
      <c r="D148" s="73"/>
      <c r="E148" s="73"/>
      <c r="F148" s="73"/>
      <c r="G148" s="73"/>
      <c r="H148" s="75"/>
      <c r="I148" s="75"/>
      <c r="J148" s="76"/>
      <c r="K148" s="77"/>
      <c r="L148" s="78"/>
      <c r="M148" s="73"/>
      <c r="N148" s="79"/>
      <c r="O148" s="75">
        <f t="shared" si="38"/>
        <v>0</v>
      </c>
      <c r="P148" s="80" t="str">
        <f t="shared" si="39"/>
        <v/>
      </c>
      <c r="Q148" s="81" t="str">
        <f t="shared" si="40"/>
        <v/>
      </c>
      <c r="R148" s="78"/>
      <c r="S148" s="73"/>
      <c r="T148" s="79"/>
      <c r="U148" s="75">
        <f t="shared" si="41"/>
        <v>0</v>
      </c>
      <c r="V148" s="80" t="str">
        <f t="shared" si="42"/>
        <v/>
      </c>
      <c r="W148" s="81" t="str">
        <f t="shared" si="43"/>
        <v/>
      </c>
      <c r="X148" s="78"/>
      <c r="Y148" s="73"/>
      <c r="Z148" s="79"/>
      <c r="AA148" s="75">
        <f t="shared" si="44"/>
        <v>0</v>
      </c>
      <c r="AB148" s="80" t="str">
        <f t="shared" si="45"/>
        <v/>
      </c>
      <c r="AC148" s="81" t="str">
        <f t="shared" si="46"/>
        <v/>
      </c>
    </row>
    <row r="149" spans="1:29">
      <c r="A149" s="3"/>
      <c r="B149" s="83" t="str">
        <f>[1]!ArticleCode(Art_51.51.)</f>
        <v>51.51.</v>
      </c>
      <c r="C149" s="84" t="str">
        <f>[1]!ArticleDescription(Art_51.51.)</f>
        <v>plafondafwerking – uitbekleding plafond (enkel levering!)</v>
      </c>
      <c r="D149" s="73"/>
      <c r="E149" s="73"/>
      <c r="F149" s="73"/>
      <c r="G149" s="73"/>
      <c r="H149" s="75"/>
      <c r="I149" s="75"/>
      <c r="J149" s="76"/>
      <c r="K149" s="77"/>
      <c r="L149" s="78"/>
      <c r="M149" s="73"/>
      <c r="N149" s="79"/>
      <c r="O149" s="75">
        <f t="shared" si="38"/>
        <v>0</v>
      </c>
      <c r="P149" s="80" t="str">
        <f t="shared" si="39"/>
        <v/>
      </c>
      <c r="Q149" s="81" t="str">
        <f t="shared" si="40"/>
        <v/>
      </c>
      <c r="R149" s="78"/>
      <c r="S149" s="73"/>
      <c r="T149" s="79"/>
      <c r="U149" s="75">
        <f t="shared" si="41"/>
        <v>0</v>
      </c>
      <c r="V149" s="80" t="str">
        <f t="shared" si="42"/>
        <v/>
      </c>
      <c r="W149" s="81" t="str">
        <f t="shared" si="43"/>
        <v/>
      </c>
      <c r="X149" s="78"/>
      <c r="Y149" s="73"/>
      <c r="Z149" s="79"/>
      <c r="AA149" s="75">
        <f t="shared" si="44"/>
        <v>0</v>
      </c>
      <c r="AB149" s="80" t="str">
        <f t="shared" si="45"/>
        <v/>
      </c>
      <c r="AC149" s="81" t="str">
        <f t="shared" si="46"/>
        <v/>
      </c>
    </row>
    <row r="150" spans="1:29">
      <c r="A150" s="3">
        <f>A147+1</f>
        <v>48</v>
      </c>
      <c r="B150" s="83" t="str">
        <f>[1]!ArticleCode(Art_51.51.10.)</f>
        <v>51.51.10.</v>
      </c>
      <c r="C150" s="84" t="str">
        <f>[1]!ArticleDescription(Art_51.51.10.)</f>
        <v>plafondafwerking – uitbekleding plafond/gipskartonplaten</v>
      </c>
      <c r="D150" s="73" t="str">
        <f>[1]!ArticleMeasureType(Art_51.51.10.)</f>
        <v>FH</v>
      </c>
      <c r="E150" s="73" t="str">
        <f>[1]!ArticleMeasureUnit(Art_51.51.10.)</f>
        <v>m2</v>
      </c>
      <c r="F150" s="92">
        <f>[1]!ArticleQuantity(Art_51.51.10.)</f>
        <v>246.92</v>
      </c>
      <c r="G150" s="73"/>
      <c r="H150" s="75"/>
      <c r="I150" s="75">
        <f>IF(RIGHT($D150,1)="-","************",ROUND(IF(NOT(ISNUMBER(G150)),IF(NOT(ISNUMBER(F150)),1,F150),G150)*H150,2))</f>
        <v>0</v>
      </c>
      <c r="J150" s="76"/>
      <c r="K150" s="77"/>
      <c r="L150" s="78"/>
      <c r="M150" s="73"/>
      <c r="N150" s="79"/>
      <c r="O150" s="75">
        <f t="shared" si="38"/>
        <v>0</v>
      </c>
      <c r="P150" s="80" t="str">
        <f t="shared" si="39"/>
        <v/>
      </c>
      <c r="Q150" s="81" t="str">
        <f t="shared" si="40"/>
        <v/>
      </c>
      <c r="R150" s="78"/>
      <c r="S150" s="73"/>
      <c r="T150" s="79"/>
      <c r="U150" s="75">
        <f t="shared" si="41"/>
        <v>0</v>
      </c>
      <c r="V150" s="80" t="str">
        <f t="shared" si="42"/>
        <v/>
      </c>
      <c r="W150" s="81" t="str">
        <f t="shared" si="43"/>
        <v/>
      </c>
      <c r="X150" s="78"/>
      <c r="Y150" s="73"/>
      <c r="Z150" s="79"/>
      <c r="AA150" s="75">
        <f t="shared" si="44"/>
        <v>0</v>
      </c>
      <c r="AB150" s="80" t="str">
        <f t="shared" si="45"/>
        <v/>
      </c>
      <c r="AC150" s="81" t="str">
        <f t="shared" si="46"/>
        <v/>
      </c>
    </row>
    <row r="151" spans="1:29">
      <c r="A151" s="3"/>
      <c r="B151" s="83" t="str">
        <f>[1]!ArticleCode(Art_51.60.)</f>
        <v>51.60.</v>
      </c>
      <c r="C151" s="84" t="str">
        <f>[1]!ArticleDescription(Art_51.60.)</f>
        <v/>
      </c>
      <c r="D151" s="73"/>
      <c r="E151" s="73"/>
      <c r="F151" s="73"/>
      <c r="G151" s="73"/>
      <c r="H151" s="75"/>
      <c r="I151" s="75"/>
      <c r="J151" s="76"/>
      <c r="K151" s="77"/>
      <c r="L151" s="78"/>
      <c r="M151" s="73"/>
      <c r="N151" s="79"/>
      <c r="O151" s="75">
        <f t="shared" si="38"/>
        <v>0</v>
      </c>
      <c r="P151" s="80" t="str">
        <f t="shared" si="39"/>
        <v/>
      </c>
      <c r="Q151" s="81" t="str">
        <f t="shared" si="40"/>
        <v/>
      </c>
      <c r="R151" s="78"/>
      <c r="S151" s="73"/>
      <c r="T151" s="79"/>
      <c r="U151" s="75">
        <f t="shared" si="41"/>
        <v>0</v>
      </c>
      <c r="V151" s="80" t="str">
        <f t="shared" si="42"/>
        <v/>
      </c>
      <c r="W151" s="81" t="str">
        <f t="shared" si="43"/>
        <v/>
      </c>
      <c r="X151" s="78"/>
      <c r="Y151" s="73"/>
      <c r="Z151" s="79"/>
      <c r="AA151" s="75">
        <f t="shared" si="44"/>
        <v>0</v>
      </c>
      <c r="AB151" s="80" t="str">
        <f t="shared" si="45"/>
        <v/>
      </c>
      <c r="AC151" s="81" t="str">
        <f t="shared" si="46"/>
        <v/>
      </c>
    </row>
    <row r="152" spans="1:29">
      <c r="A152" s="3"/>
      <c r="B152" s="83" t="str">
        <f>[1]!ArticleCode(Art_51.70.)</f>
        <v>51.70.</v>
      </c>
      <c r="C152" s="84" t="str">
        <f>[1]!ArticleDescription(Art_51.70.)</f>
        <v>uitbekleding sanitaire toestellen – algemeen</v>
      </c>
      <c r="D152" s="73"/>
      <c r="E152" s="73"/>
      <c r="F152" s="73"/>
      <c r="G152" s="73"/>
      <c r="H152" s="75"/>
      <c r="I152" s="75"/>
      <c r="J152" s="76"/>
      <c r="K152" s="77"/>
      <c r="L152" s="78"/>
      <c r="M152" s="73"/>
      <c r="N152" s="79"/>
      <c r="O152" s="75">
        <f t="shared" si="38"/>
        <v>0</v>
      </c>
      <c r="P152" s="80" t="str">
        <f t="shared" si="39"/>
        <v/>
      </c>
      <c r="Q152" s="81" t="str">
        <f t="shared" si="40"/>
        <v/>
      </c>
      <c r="R152" s="78"/>
      <c r="S152" s="73"/>
      <c r="T152" s="79"/>
      <c r="U152" s="75">
        <f t="shared" si="41"/>
        <v>0</v>
      </c>
      <c r="V152" s="80" t="str">
        <f t="shared" si="42"/>
        <v/>
      </c>
      <c r="W152" s="81" t="str">
        <f t="shared" si="43"/>
        <v/>
      </c>
      <c r="X152" s="78"/>
      <c r="Y152" s="73"/>
      <c r="Z152" s="79"/>
      <c r="AA152" s="75">
        <f t="shared" si="44"/>
        <v>0</v>
      </c>
      <c r="AB152" s="80" t="str">
        <f t="shared" si="45"/>
        <v/>
      </c>
      <c r="AC152" s="81" t="str">
        <f t="shared" si="46"/>
        <v/>
      </c>
    </row>
    <row r="153" spans="1:29">
      <c r="A153" s="3"/>
      <c r="B153" s="83" t="str">
        <f>[1]!ArticleCode(Art_51.71.)</f>
        <v>51.71.</v>
      </c>
      <c r="C153" s="84" t="str">
        <f>[1]!ArticleDescription(Art_51.71.)</f>
        <v>uitbekleding sanitaire toestellen – te betegelen plaat (enkel levering)</v>
      </c>
      <c r="D153" s="73"/>
      <c r="E153" s="73"/>
      <c r="F153" s="73"/>
      <c r="G153" s="73"/>
      <c r="H153" s="75"/>
      <c r="I153" s="75"/>
      <c r="J153" s="76"/>
      <c r="K153" s="77"/>
      <c r="L153" s="78"/>
      <c r="M153" s="73"/>
      <c r="N153" s="79"/>
      <c r="O153" s="75">
        <f t="shared" si="38"/>
        <v>0</v>
      </c>
      <c r="P153" s="80" t="str">
        <f t="shared" si="39"/>
        <v/>
      </c>
      <c r="Q153" s="81" t="str">
        <f t="shared" si="40"/>
        <v/>
      </c>
      <c r="R153" s="78"/>
      <c r="S153" s="73"/>
      <c r="T153" s="79"/>
      <c r="U153" s="75">
        <f t="shared" si="41"/>
        <v>0</v>
      </c>
      <c r="V153" s="80" t="str">
        <f t="shared" si="42"/>
        <v/>
      </c>
      <c r="W153" s="81" t="str">
        <f t="shared" si="43"/>
        <v/>
      </c>
      <c r="X153" s="78"/>
      <c r="Y153" s="73"/>
      <c r="Z153" s="79"/>
      <c r="AA153" s="75">
        <f t="shared" si="44"/>
        <v>0</v>
      </c>
      <c r="AB153" s="80" t="str">
        <f t="shared" si="45"/>
        <v/>
      </c>
      <c r="AC153" s="81" t="str">
        <f t="shared" si="46"/>
        <v/>
      </c>
    </row>
    <row r="154" spans="1:29">
      <c r="A154" s="3">
        <f>A150+1</f>
        <v>49</v>
      </c>
      <c r="B154" s="83" t="str">
        <f>[1]!ArticleCode(Art_51.71.10.)</f>
        <v>51.71.10.</v>
      </c>
      <c r="C154" s="84" t="str">
        <f>[1]!ArticleDescription(Art_51.71.10.)</f>
        <v>uitbekleding sanitaire toestellen – te betegelen plaat/gipskarton</v>
      </c>
      <c r="D154" s="73" t="str">
        <f>[1]!ArticleMeasureType(Art_51.71.10.)</f>
        <v>FH</v>
      </c>
      <c r="E154" s="73" t="str">
        <f>[1]!ArticleMeasureUnit(Art_51.71.10.)</f>
        <v>st</v>
      </c>
      <c r="F154" s="91">
        <f>[1]!ArticleQuantity(Art_51.71.10.)</f>
        <v>4</v>
      </c>
      <c r="G154" s="73"/>
      <c r="H154" s="75"/>
      <c r="I154" s="75">
        <f>IF(RIGHT($D154,1)="-","************",ROUND(IF(NOT(ISNUMBER(G154)),IF(NOT(ISNUMBER(F154)),1,F154),G154)*H154,2))</f>
        <v>0</v>
      </c>
      <c r="J154" s="76"/>
      <c r="K154" s="77"/>
      <c r="L154" s="78"/>
      <c r="M154" s="73"/>
      <c r="N154" s="79"/>
      <c r="O154" s="75">
        <f t="shared" si="38"/>
        <v>0</v>
      </c>
      <c r="P154" s="80" t="str">
        <f t="shared" si="39"/>
        <v/>
      </c>
      <c r="Q154" s="81" t="str">
        <f t="shared" si="40"/>
        <v/>
      </c>
      <c r="R154" s="78"/>
      <c r="S154" s="73"/>
      <c r="T154" s="79"/>
      <c r="U154" s="75">
        <f t="shared" si="41"/>
        <v>0</v>
      </c>
      <c r="V154" s="80" t="str">
        <f t="shared" si="42"/>
        <v/>
      </c>
      <c r="W154" s="81" t="str">
        <f t="shared" si="43"/>
        <v/>
      </c>
      <c r="X154" s="78"/>
      <c r="Y154" s="73"/>
      <c r="Z154" s="79"/>
      <c r="AA154" s="75">
        <f t="shared" si="44"/>
        <v>0</v>
      </c>
      <c r="AB154" s="80" t="str">
        <f t="shared" si="45"/>
        <v/>
      </c>
      <c r="AC154" s="81" t="str">
        <f t="shared" si="46"/>
        <v/>
      </c>
    </row>
    <row r="155" spans="1:29">
      <c r="A155" s="3"/>
      <c r="B155" s="85"/>
      <c r="C155" s="86"/>
      <c r="D155" s="87"/>
      <c r="E155" s="86"/>
      <c r="F155" s="86"/>
      <c r="G155" s="86"/>
      <c r="H155" s="88"/>
      <c r="I155" s="88"/>
      <c r="J155" s="89">
        <f>SUBTOTAL(9,I139:I154)</f>
        <v>0</v>
      </c>
      <c r="K155" s="77"/>
      <c r="L155" s="78"/>
      <c r="M155" s="73"/>
      <c r="N155" s="79"/>
      <c r="O155" s="75">
        <f t="shared" si="38"/>
        <v>0</v>
      </c>
      <c r="P155" s="80" t="str">
        <f t="shared" si="39"/>
        <v/>
      </c>
      <c r="Q155" s="81" t="str">
        <f t="shared" si="40"/>
        <v/>
      </c>
      <c r="R155" s="78"/>
      <c r="S155" s="73"/>
      <c r="T155" s="79"/>
      <c r="U155" s="75">
        <f t="shared" si="41"/>
        <v>0</v>
      </c>
      <c r="V155" s="80" t="str">
        <f t="shared" si="42"/>
        <v/>
      </c>
      <c r="W155" s="81" t="str">
        <f t="shared" si="43"/>
        <v/>
      </c>
      <c r="X155" s="78"/>
      <c r="Y155" s="73"/>
      <c r="Z155" s="79"/>
      <c r="AA155" s="75">
        <f t="shared" si="44"/>
        <v>0</v>
      </c>
      <c r="AB155" s="80" t="str">
        <f t="shared" si="45"/>
        <v/>
      </c>
      <c r="AC155" s="81" t="str">
        <f t="shared" si="46"/>
        <v/>
      </c>
    </row>
    <row r="156" spans="1:29">
      <c r="A156" s="3"/>
      <c r="B156" s="90"/>
      <c r="C156" s="73"/>
      <c r="D156" s="73"/>
      <c r="E156" s="73"/>
      <c r="F156" s="73"/>
      <c r="G156" s="73"/>
      <c r="H156" s="75"/>
      <c r="I156" s="75"/>
      <c r="J156" s="76"/>
      <c r="K156" s="77"/>
      <c r="L156" s="78"/>
      <c r="M156" s="73"/>
      <c r="N156" s="79"/>
      <c r="O156" s="75">
        <f t="shared" si="38"/>
        <v>0</v>
      </c>
      <c r="P156" s="80" t="str">
        <f t="shared" si="39"/>
        <v/>
      </c>
      <c r="Q156" s="81" t="str">
        <f t="shared" si="40"/>
        <v/>
      </c>
      <c r="R156" s="78"/>
      <c r="S156" s="73"/>
      <c r="T156" s="79"/>
      <c r="U156" s="75">
        <f t="shared" si="41"/>
        <v>0</v>
      </c>
      <c r="V156" s="80" t="str">
        <f t="shared" si="42"/>
        <v/>
      </c>
      <c r="W156" s="81" t="str">
        <f t="shared" si="43"/>
        <v/>
      </c>
      <c r="X156" s="78"/>
      <c r="Y156" s="73"/>
      <c r="Z156" s="79"/>
      <c r="AA156" s="75">
        <f t="shared" si="44"/>
        <v>0</v>
      </c>
      <c r="AB156" s="80" t="str">
        <f t="shared" si="45"/>
        <v/>
      </c>
      <c r="AC156" s="81" t="str">
        <f t="shared" si="46"/>
        <v/>
      </c>
    </row>
    <row r="157" spans="1:29">
      <c r="A157" s="3"/>
      <c r="B157" s="72" t="s">
        <v>333</v>
      </c>
      <c r="C157" s="73"/>
      <c r="D157" s="74"/>
      <c r="E157" s="73"/>
      <c r="F157" s="73"/>
      <c r="G157" s="73"/>
      <c r="H157" s="75"/>
      <c r="I157" s="75"/>
      <c r="J157" s="76"/>
      <c r="K157" s="77"/>
      <c r="L157" s="78"/>
      <c r="M157" s="73"/>
      <c r="N157" s="79"/>
      <c r="O157" s="75">
        <f t="shared" si="38"/>
        <v>0</v>
      </c>
      <c r="P157" s="80" t="str">
        <f t="shared" si="39"/>
        <v/>
      </c>
      <c r="Q157" s="81" t="str">
        <f t="shared" si="40"/>
        <v/>
      </c>
      <c r="R157" s="78"/>
      <c r="S157" s="73"/>
      <c r="T157" s="79"/>
      <c r="U157" s="75">
        <f t="shared" si="41"/>
        <v>0</v>
      </c>
      <c r="V157" s="80" t="str">
        <f t="shared" si="42"/>
        <v/>
      </c>
      <c r="W157" s="81" t="str">
        <f t="shared" si="43"/>
        <v/>
      </c>
      <c r="X157" s="78"/>
      <c r="Y157" s="73"/>
      <c r="Z157" s="79"/>
      <c r="AA157" s="75">
        <f t="shared" si="44"/>
        <v>0</v>
      </c>
      <c r="AB157" s="80" t="str">
        <f t="shared" si="45"/>
        <v/>
      </c>
      <c r="AC157" s="81" t="str">
        <f t="shared" si="46"/>
        <v/>
      </c>
    </row>
    <row r="158" spans="1:29">
      <c r="A158" s="3"/>
      <c r="B158" s="83" t="str">
        <f>[1]!ArticleCode(Art_54.)</f>
        <v>54.</v>
      </c>
      <c r="C158" s="84" t="str">
        <f>[1]!ArticleDescription(Art_54.)</f>
        <v>BINNENDEUREN en -RAMEN</v>
      </c>
      <c r="D158" s="73"/>
      <c r="E158" s="73"/>
      <c r="F158" s="73"/>
      <c r="G158" s="73"/>
      <c r="H158" s="75"/>
      <c r="I158" s="75"/>
      <c r="J158" s="76"/>
      <c r="K158" s="77"/>
      <c r="L158" s="78"/>
      <c r="M158" s="73"/>
      <c r="N158" s="79"/>
      <c r="O158" s="75">
        <f t="shared" si="38"/>
        <v>0</v>
      </c>
      <c r="P158" s="80" t="str">
        <f t="shared" si="39"/>
        <v/>
      </c>
      <c r="Q158" s="81" t="str">
        <f t="shared" si="40"/>
        <v/>
      </c>
      <c r="R158" s="78"/>
      <c r="S158" s="73"/>
      <c r="T158" s="79"/>
      <c r="U158" s="75">
        <f t="shared" si="41"/>
        <v>0</v>
      </c>
      <c r="V158" s="80" t="str">
        <f t="shared" si="42"/>
        <v/>
      </c>
      <c r="W158" s="81" t="str">
        <f t="shared" si="43"/>
        <v/>
      </c>
      <c r="X158" s="78"/>
      <c r="Y158" s="73"/>
      <c r="Z158" s="79"/>
      <c r="AA158" s="75">
        <f t="shared" si="44"/>
        <v>0</v>
      </c>
      <c r="AB158" s="80" t="str">
        <f t="shared" si="45"/>
        <v/>
      </c>
      <c r="AC158" s="81" t="str">
        <f t="shared" si="46"/>
        <v/>
      </c>
    </row>
    <row r="159" spans="1:29">
      <c r="A159" s="3"/>
      <c r="B159" s="83" t="str">
        <f>[1]!ArticleCode(Art_54.00.)</f>
        <v>54.00.</v>
      </c>
      <c r="C159" s="84" t="str">
        <f>[1]!ArticleDescription(Art_54.00.)</f>
        <v>binnendeuren en -ramen - algemeen</v>
      </c>
      <c r="D159" s="73"/>
      <c r="E159" s="73"/>
      <c r="F159" s="73"/>
      <c r="G159" s="73"/>
      <c r="H159" s="75"/>
      <c r="I159" s="75"/>
      <c r="J159" s="76"/>
      <c r="K159" s="77"/>
      <c r="L159" s="78"/>
      <c r="M159" s="73"/>
      <c r="N159" s="79"/>
      <c r="O159" s="75">
        <f t="shared" si="38"/>
        <v>0</v>
      </c>
      <c r="P159" s="80" t="str">
        <f t="shared" si="39"/>
        <v/>
      </c>
      <c r="Q159" s="81" t="str">
        <f t="shared" si="40"/>
        <v/>
      </c>
      <c r="R159" s="78"/>
      <c r="S159" s="73"/>
      <c r="T159" s="79"/>
      <c r="U159" s="75">
        <f t="shared" si="41"/>
        <v>0</v>
      </c>
      <c r="V159" s="80" t="str">
        <f t="shared" si="42"/>
        <v/>
      </c>
      <c r="W159" s="81" t="str">
        <f t="shared" si="43"/>
        <v/>
      </c>
      <c r="X159" s="78"/>
      <c r="Y159" s="73"/>
      <c r="Z159" s="79"/>
      <c r="AA159" s="75">
        <f t="shared" si="44"/>
        <v>0</v>
      </c>
      <c r="AB159" s="80" t="str">
        <f t="shared" si="45"/>
        <v/>
      </c>
      <c r="AC159" s="81" t="str">
        <f t="shared" si="46"/>
        <v/>
      </c>
    </row>
    <row r="160" spans="1:29">
      <c r="A160" s="3"/>
      <c r="B160" s="83" t="str">
        <f>[1]!ArticleCode(Art_54.01.)</f>
        <v>54.01.</v>
      </c>
      <c r="C160" s="84" t="str">
        <f>[1]!ArticleDescription(Art_54.01.)</f>
        <v>binnendeuren en -ramen – prestaties</v>
      </c>
      <c r="D160" s="73"/>
      <c r="E160" s="73"/>
      <c r="F160" s="73"/>
      <c r="G160" s="73"/>
      <c r="H160" s="75"/>
      <c r="I160" s="75"/>
      <c r="J160" s="76"/>
      <c r="K160" s="77"/>
      <c r="L160" s="78"/>
      <c r="M160" s="73"/>
      <c r="N160" s="79"/>
      <c r="O160" s="75">
        <f t="shared" si="38"/>
        <v>0</v>
      </c>
      <c r="P160" s="80" t="str">
        <f t="shared" si="39"/>
        <v/>
      </c>
      <c r="Q160" s="81" t="str">
        <f t="shared" si="40"/>
        <v/>
      </c>
      <c r="R160" s="78"/>
      <c r="S160" s="73"/>
      <c r="T160" s="79"/>
      <c r="U160" s="75">
        <f t="shared" si="41"/>
        <v>0</v>
      </c>
      <c r="V160" s="80" t="str">
        <f t="shared" si="42"/>
        <v/>
      </c>
      <c r="W160" s="81" t="str">
        <f t="shared" si="43"/>
        <v/>
      </c>
      <c r="X160" s="78"/>
      <c r="Y160" s="73"/>
      <c r="Z160" s="79"/>
      <c r="AA160" s="75">
        <f t="shared" si="44"/>
        <v>0</v>
      </c>
      <c r="AB160" s="80" t="str">
        <f t="shared" si="45"/>
        <v/>
      </c>
      <c r="AC160" s="81" t="str">
        <f t="shared" si="46"/>
        <v/>
      </c>
    </row>
    <row r="161" spans="1:29">
      <c r="A161" s="3"/>
      <c r="B161" s="83" t="str">
        <f>[1]!ArticleCode(Art_54.02.)</f>
        <v>54.02.</v>
      </c>
      <c r="C161" s="84" t="str">
        <f>[1]!ArticleDescription(Art_54.02.)</f>
        <v>binnendeuren en -ramen – keuring en proeven</v>
      </c>
      <c r="D161" s="73"/>
      <c r="E161" s="73"/>
      <c r="F161" s="73"/>
      <c r="G161" s="73"/>
      <c r="H161" s="75"/>
      <c r="I161" s="75"/>
      <c r="J161" s="76"/>
      <c r="K161" s="77"/>
      <c r="L161" s="78"/>
      <c r="M161" s="73"/>
      <c r="N161" s="79"/>
      <c r="O161" s="75">
        <f t="shared" si="38"/>
        <v>0</v>
      </c>
      <c r="P161" s="80" t="str">
        <f t="shared" si="39"/>
        <v/>
      </c>
      <c r="Q161" s="81" t="str">
        <f t="shared" si="40"/>
        <v/>
      </c>
      <c r="R161" s="78"/>
      <c r="S161" s="73"/>
      <c r="T161" s="79"/>
      <c r="U161" s="75">
        <f t="shared" si="41"/>
        <v>0</v>
      </c>
      <c r="V161" s="80" t="str">
        <f t="shared" si="42"/>
        <v/>
      </c>
      <c r="W161" s="81" t="str">
        <f t="shared" si="43"/>
        <v/>
      </c>
      <c r="X161" s="78"/>
      <c r="Y161" s="73"/>
      <c r="Z161" s="79"/>
      <c r="AA161" s="75">
        <f t="shared" si="44"/>
        <v>0</v>
      </c>
      <c r="AB161" s="80" t="str">
        <f t="shared" si="45"/>
        <v/>
      </c>
      <c r="AC161" s="81" t="str">
        <f t="shared" si="46"/>
        <v/>
      </c>
    </row>
    <row r="162" spans="1:29">
      <c r="A162" s="3"/>
      <c r="B162" s="83" t="str">
        <f>[1]!ArticleCode(Art_54.03.)</f>
        <v>54.03.</v>
      </c>
      <c r="C162" s="84" t="str">
        <f>[1]!ArticleDescription(Art_54.03.)</f>
        <v>binnendeuren en -ramen – proefopstelling</v>
      </c>
      <c r="D162" s="73"/>
      <c r="E162" s="73"/>
      <c r="F162" s="73"/>
      <c r="G162" s="73"/>
      <c r="H162" s="75"/>
      <c r="I162" s="75"/>
      <c r="J162" s="76"/>
      <c r="K162" s="77"/>
      <c r="L162" s="78"/>
      <c r="M162" s="73"/>
      <c r="N162" s="79"/>
      <c r="O162" s="75">
        <f t="shared" si="38"/>
        <v>0</v>
      </c>
      <c r="P162" s="80" t="str">
        <f t="shared" si="39"/>
        <v/>
      </c>
      <c r="Q162" s="81" t="str">
        <f t="shared" si="40"/>
        <v/>
      </c>
      <c r="R162" s="78"/>
      <c r="S162" s="73"/>
      <c r="T162" s="79"/>
      <c r="U162" s="75">
        <f t="shared" si="41"/>
        <v>0</v>
      </c>
      <c r="V162" s="80" t="str">
        <f t="shared" si="42"/>
        <v/>
      </c>
      <c r="W162" s="81" t="str">
        <f t="shared" si="43"/>
        <v/>
      </c>
      <c r="X162" s="78"/>
      <c r="Y162" s="73"/>
      <c r="Z162" s="79"/>
      <c r="AA162" s="75">
        <f t="shared" si="44"/>
        <v>0</v>
      </c>
      <c r="AB162" s="80" t="str">
        <f t="shared" si="45"/>
        <v/>
      </c>
      <c r="AC162" s="81" t="str">
        <f t="shared" si="46"/>
        <v/>
      </c>
    </row>
    <row r="163" spans="1:29">
      <c r="A163" s="3"/>
      <c r="B163" s="83" t="str">
        <f>[1]!ArticleCode(Art_54.10.)</f>
        <v>54.10.</v>
      </c>
      <c r="C163" s="84" t="str">
        <f>[1]!ArticleDescription(Art_54.10.)</f>
        <v>deurkozijnen - algemeen</v>
      </c>
      <c r="D163" s="73"/>
      <c r="E163" s="73"/>
      <c r="F163" s="73"/>
      <c r="G163" s="73"/>
      <c r="H163" s="75"/>
      <c r="I163" s="75"/>
      <c r="J163" s="76"/>
      <c r="K163" s="77"/>
      <c r="L163" s="78"/>
      <c r="M163" s="73"/>
      <c r="N163" s="79"/>
      <c r="O163" s="75">
        <f t="shared" si="38"/>
        <v>0</v>
      </c>
      <c r="P163" s="80" t="str">
        <f t="shared" si="39"/>
        <v/>
      </c>
      <c r="Q163" s="81" t="str">
        <f t="shared" si="40"/>
        <v/>
      </c>
      <c r="R163" s="78"/>
      <c r="S163" s="73"/>
      <c r="T163" s="79"/>
      <c r="U163" s="75">
        <f t="shared" si="41"/>
        <v>0</v>
      </c>
      <c r="V163" s="80" t="str">
        <f t="shared" si="42"/>
        <v/>
      </c>
      <c r="W163" s="81" t="str">
        <f t="shared" si="43"/>
        <v/>
      </c>
      <c r="X163" s="78"/>
      <c r="Y163" s="73"/>
      <c r="Z163" s="79"/>
      <c r="AA163" s="75">
        <f t="shared" si="44"/>
        <v>0</v>
      </c>
      <c r="AB163" s="80" t="str">
        <f t="shared" si="45"/>
        <v/>
      </c>
      <c r="AC163" s="81" t="str">
        <f t="shared" si="46"/>
        <v/>
      </c>
    </row>
    <row r="164" spans="1:29">
      <c r="A164" s="3"/>
      <c r="B164" s="83" t="str">
        <f>[1]!ArticleCode(Art_54.11.)</f>
        <v>54.11.</v>
      </c>
      <c r="C164" s="84" t="str">
        <f>[1]!ArticleDescription(Art_54.11.)</f>
        <v>deurkozijnen - hout</v>
      </c>
      <c r="D164" s="73"/>
      <c r="E164" s="73"/>
      <c r="F164" s="73"/>
      <c r="G164" s="73"/>
      <c r="H164" s="75"/>
      <c r="I164" s="75"/>
      <c r="J164" s="76"/>
      <c r="K164" s="77"/>
      <c r="L164" s="78"/>
      <c r="M164" s="73"/>
      <c r="N164" s="79"/>
      <c r="O164" s="75">
        <f t="shared" si="38"/>
        <v>0</v>
      </c>
      <c r="P164" s="80" t="str">
        <f t="shared" si="39"/>
        <v/>
      </c>
      <c r="Q164" s="81" t="str">
        <f t="shared" si="40"/>
        <v/>
      </c>
      <c r="R164" s="78"/>
      <c r="S164" s="73"/>
      <c r="T164" s="79"/>
      <c r="U164" s="75">
        <f t="shared" si="41"/>
        <v>0</v>
      </c>
      <c r="V164" s="80" t="str">
        <f t="shared" si="42"/>
        <v/>
      </c>
      <c r="W164" s="81" t="str">
        <f t="shared" si="43"/>
        <v/>
      </c>
      <c r="X164" s="78"/>
      <c r="Y164" s="73"/>
      <c r="Z164" s="79"/>
      <c r="AA164" s="75">
        <f t="shared" si="44"/>
        <v>0</v>
      </c>
      <c r="AB164" s="80" t="str">
        <f t="shared" si="45"/>
        <v/>
      </c>
      <c r="AC164" s="81" t="str">
        <f t="shared" si="46"/>
        <v/>
      </c>
    </row>
    <row r="165" spans="1:29">
      <c r="A165" s="3">
        <f>A154+1</f>
        <v>50</v>
      </c>
      <c r="B165" s="83" t="str">
        <f>[1]!ArticleCode(Art_54.11.10.)</f>
        <v>54.11.10.</v>
      </c>
      <c r="C165" s="84" t="str">
        <f>[1]!ArticleDescription(Art_54.11.10.)</f>
        <v>deurkozijnen – hout/massief</v>
      </c>
      <c r="D165" s="73" t="str">
        <f>[1]!ArticleMeasureType(Art_54.11.10.)</f>
        <v>FH</v>
      </c>
      <c r="E165" s="73" t="str">
        <f>[1]!ArticleMeasureUnit(Art_54.11.10.)</f>
        <v>st</v>
      </c>
      <c r="F165" s="91">
        <f>[1]!ArticleQuantity(Art_54.11.10.)</f>
        <v>6</v>
      </c>
      <c r="G165" s="73"/>
      <c r="H165" s="75"/>
      <c r="I165" s="75">
        <f>IF(RIGHT($D165,1)="-","************",ROUND(IF(NOT(ISNUMBER(G165)),IF(NOT(ISNUMBER(F165)),1,F165),G165)*H165,2))</f>
        <v>0</v>
      </c>
      <c r="J165" s="76"/>
      <c r="K165" s="77"/>
      <c r="L165" s="78"/>
      <c r="M165" s="73"/>
      <c r="N165" s="79"/>
      <c r="O165" s="75">
        <f t="shared" si="38"/>
        <v>0</v>
      </c>
      <c r="P165" s="80" t="str">
        <f t="shared" si="39"/>
        <v/>
      </c>
      <c r="Q165" s="81" t="str">
        <f t="shared" si="40"/>
        <v/>
      </c>
      <c r="R165" s="78"/>
      <c r="S165" s="73"/>
      <c r="T165" s="79"/>
      <c r="U165" s="75">
        <f t="shared" si="41"/>
        <v>0</v>
      </c>
      <c r="V165" s="80" t="str">
        <f t="shared" si="42"/>
        <v/>
      </c>
      <c r="W165" s="81" t="str">
        <f t="shared" si="43"/>
        <v/>
      </c>
      <c r="X165" s="78"/>
      <c r="Y165" s="73"/>
      <c r="Z165" s="79"/>
      <c r="AA165" s="75">
        <f t="shared" si="44"/>
        <v>0</v>
      </c>
      <c r="AB165" s="80" t="str">
        <f t="shared" si="45"/>
        <v/>
      </c>
      <c r="AC165" s="81" t="str">
        <f t="shared" si="46"/>
        <v/>
      </c>
    </row>
    <row r="166" spans="1:29">
      <c r="A166" s="3"/>
      <c r="B166" s="83" t="str">
        <f>[1]!ArticleCode(Art_54.20.)</f>
        <v>54.20.</v>
      </c>
      <c r="C166" s="84" t="str">
        <f>[1]!ArticleDescription(Art_54.20.)</f>
        <v>deurbladen - algemeen</v>
      </c>
      <c r="D166" s="73"/>
      <c r="E166" s="73"/>
      <c r="F166" s="73"/>
      <c r="G166" s="73"/>
      <c r="H166" s="75"/>
      <c r="I166" s="75"/>
      <c r="J166" s="76"/>
      <c r="K166" s="77"/>
      <c r="L166" s="78"/>
      <c r="M166" s="73"/>
      <c r="N166" s="79"/>
      <c r="O166" s="75">
        <f t="shared" si="38"/>
        <v>0</v>
      </c>
      <c r="P166" s="80" t="str">
        <f t="shared" si="39"/>
        <v/>
      </c>
      <c r="Q166" s="81" t="str">
        <f t="shared" si="40"/>
        <v/>
      </c>
      <c r="R166" s="78"/>
      <c r="S166" s="73"/>
      <c r="T166" s="79"/>
      <c r="U166" s="75">
        <f t="shared" si="41"/>
        <v>0</v>
      </c>
      <c r="V166" s="80" t="str">
        <f t="shared" si="42"/>
        <v/>
      </c>
      <c r="W166" s="81" t="str">
        <f t="shared" si="43"/>
        <v/>
      </c>
      <c r="X166" s="78"/>
      <c r="Y166" s="73"/>
      <c r="Z166" s="79"/>
      <c r="AA166" s="75">
        <f t="shared" si="44"/>
        <v>0</v>
      </c>
      <c r="AB166" s="80" t="str">
        <f t="shared" si="45"/>
        <v/>
      </c>
      <c r="AC166" s="81" t="str">
        <f t="shared" si="46"/>
        <v/>
      </c>
    </row>
    <row r="167" spans="1:29">
      <c r="A167" s="3"/>
      <c r="B167" s="83" t="str">
        <f>[1]!ArticleCode(Art_54.21.)</f>
        <v>54.21.</v>
      </c>
      <c r="C167" s="84" t="str">
        <f>[1]!ArticleDescription(Art_54.21.)</f>
        <v>deurbladen - hout met holle kern</v>
      </c>
      <c r="D167" s="73"/>
      <c r="E167" s="73"/>
      <c r="F167" s="73"/>
      <c r="G167" s="73"/>
      <c r="H167" s="75"/>
      <c r="I167" s="75"/>
      <c r="J167" s="76"/>
      <c r="K167" s="77"/>
      <c r="L167" s="78"/>
      <c r="M167" s="73"/>
      <c r="N167" s="79"/>
      <c r="O167" s="75">
        <f t="shared" si="38"/>
        <v>0</v>
      </c>
      <c r="P167" s="80" t="str">
        <f t="shared" si="39"/>
        <v/>
      </c>
      <c r="Q167" s="81" t="str">
        <f t="shared" si="40"/>
        <v/>
      </c>
      <c r="R167" s="78"/>
      <c r="S167" s="73"/>
      <c r="T167" s="79"/>
      <c r="U167" s="75">
        <f t="shared" si="41"/>
        <v>0</v>
      </c>
      <c r="V167" s="80" t="str">
        <f t="shared" si="42"/>
        <v/>
      </c>
      <c r="W167" s="81" t="str">
        <f t="shared" si="43"/>
        <v/>
      </c>
      <c r="X167" s="78"/>
      <c r="Y167" s="73"/>
      <c r="Z167" s="79"/>
      <c r="AA167" s="75">
        <f t="shared" si="44"/>
        <v>0</v>
      </c>
      <c r="AB167" s="80" t="str">
        <f t="shared" si="45"/>
        <v/>
      </c>
      <c r="AC167" s="81" t="str">
        <f t="shared" si="46"/>
        <v/>
      </c>
    </row>
    <row r="168" spans="1:29">
      <c r="A168" s="3">
        <f>A165+1</f>
        <v>51</v>
      </c>
      <c r="B168" s="83" t="str">
        <f>[1]!ArticleCode(Art_54.21.20.)</f>
        <v>54.21.20.</v>
      </c>
      <c r="C168" s="84" t="str">
        <f>[1]!ArticleDescription(Art_54.21.20.)</f>
        <v>deurbladen - hout met holle kern/tubespaan</v>
      </c>
      <c r="D168" s="73" t="str">
        <f>[1]!ArticleMeasureType(Art_54.21.20.)</f>
        <v>VH</v>
      </c>
      <c r="E168" s="73" t="str">
        <f>[1]!ArticleMeasureUnit(Art_54.21.20.)</f>
        <v>st</v>
      </c>
      <c r="F168" s="91">
        <f>[1]!ArticleQuantity(Art_54.21.20.)</f>
        <v>7</v>
      </c>
      <c r="G168" s="73"/>
      <c r="H168" s="75"/>
      <c r="I168" s="75">
        <f>IF(RIGHT($D168,1)="-","************",ROUND(IF(NOT(ISNUMBER(G168)),IF(NOT(ISNUMBER(F168)),1,F168),G168)*H168,2))</f>
        <v>0</v>
      </c>
      <c r="J168" s="76"/>
      <c r="K168" s="77"/>
      <c r="L168" s="78"/>
      <c r="M168" s="73"/>
      <c r="N168" s="79"/>
      <c r="O168" s="75">
        <f t="shared" si="38"/>
        <v>0</v>
      </c>
      <c r="P168" s="80" t="str">
        <f t="shared" si="39"/>
        <v/>
      </c>
      <c r="Q168" s="81" t="str">
        <f t="shared" si="40"/>
        <v/>
      </c>
      <c r="R168" s="78"/>
      <c r="S168" s="73"/>
      <c r="T168" s="79"/>
      <c r="U168" s="75">
        <f t="shared" si="41"/>
        <v>0</v>
      </c>
      <c r="V168" s="80" t="str">
        <f t="shared" si="42"/>
        <v/>
      </c>
      <c r="W168" s="81" t="str">
        <f t="shared" si="43"/>
        <v/>
      </c>
      <c r="X168" s="78"/>
      <c r="Y168" s="73"/>
      <c r="Z168" s="79"/>
      <c r="AA168" s="75">
        <f t="shared" si="44"/>
        <v>0</v>
      </c>
      <c r="AB168" s="80" t="str">
        <f t="shared" si="45"/>
        <v/>
      </c>
      <c r="AC168" s="81" t="str">
        <f t="shared" si="46"/>
        <v/>
      </c>
    </row>
    <row r="169" spans="1:29">
      <c r="A169" s="3">
        <f>A168+1</f>
        <v>52</v>
      </c>
      <c r="B169" s="83" t="str">
        <f>[1]!ArticleCode(Art_54.21.30.)</f>
        <v>54.21.30.</v>
      </c>
      <c r="C169" s="84" t="str">
        <f>[1]!ArticleDescription(Art_54.21.30.)</f>
        <v>deurbladen – recuperatie deuren aangeleverd door bouwheer (enkel plaatsing)</v>
      </c>
      <c r="D169" s="73" t="str">
        <f>[1]!ArticleMeasureType(Art_54.21.30.)</f>
        <v>EP</v>
      </c>
      <c r="E169" s="73" t="str">
        <f>[1]!ArticleMeasureUnit(Art_54.21.30.)</f>
        <v>st</v>
      </c>
      <c r="F169" s="91">
        <f>[1]!ArticleQuantity(Art_54.21.30.)</f>
        <v>0</v>
      </c>
      <c r="G169" s="73"/>
      <c r="H169" s="75"/>
      <c r="I169" s="75">
        <f>IF(RIGHT($D169,1)="-","************",ROUND(IF(NOT(ISNUMBER(G169)),IF(NOT(ISNUMBER(F169)),1,F169),G169)*H169,2))</f>
        <v>0</v>
      </c>
      <c r="J169" s="76"/>
      <c r="K169" s="77"/>
      <c r="L169" s="78"/>
      <c r="M169" s="73"/>
      <c r="N169" s="79"/>
      <c r="O169" s="75">
        <f t="shared" si="38"/>
        <v>0</v>
      </c>
      <c r="P169" s="80" t="str">
        <f t="shared" si="39"/>
        <v/>
      </c>
      <c r="Q169" s="81" t="str">
        <f t="shared" si="40"/>
        <v/>
      </c>
      <c r="R169" s="78"/>
      <c r="S169" s="73"/>
      <c r="T169" s="79"/>
      <c r="U169" s="75">
        <f t="shared" si="41"/>
        <v>0</v>
      </c>
      <c r="V169" s="80" t="str">
        <f t="shared" si="42"/>
        <v/>
      </c>
      <c r="W169" s="81" t="str">
        <f t="shared" si="43"/>
        <v/>
      </c>
      <c r="X169" s="78"/>
      <c r="Y169" s="73"/>
      <c r="Z169" s="79"/>
      <c r="AA169" s="75">
        <f t="shared" si="44"/>
        <v>0</v>
      </c>
      <c r="AB169" s="80" t="str">
        <f t="shared" si="45"/>
        <v/>
      </c>
      <c r="AC169" s="81" t="str">
        <f t="shared" si="46"/>
        <v/>
      </c>
    </row>
    <row r="170" spans="1:29">
      <c r="A170" s="3">
        <f>A169+1</f>
        <v>53</v>
      </c>
      <c r="B170" s="83" t="str">
        <f>[1]!ArticleCode(Art_54.21.40.)</f>
        <v>54.22.</v>
      </c>
      <c r="C170" s="112" t="str">
        <f>[1]!ArticleDescription(Art_54.21.40.)</f>
        <v>deurbladen - HPL voor sanitair</v>
      </c>
      <c r="D170" s="73" t="str">
        <f>[1]!ArticleMeasureType(Art_54.21.40.)</f>
        <v>FH</v>
      </c>
      <c r="E170" s="73" t="str">
        <f>[1]!ArticleMeasureUnit(Art_54.21.40.)</f>
        <v>st</v>
      </c>
      <c r="F170" s="91">
        <f>[1]!ArticleQuantity(Art_54.21.40.)</f>
        <v>4</v>
      </c>
      <c r="G170" s="73"/>
      <c r="H170" s="75"/>
      <c r="I170" s="75">
        <f>IF(RIGHT($D170,1)="-","************",ROUND(IF(NOT(ISNUMBER(G170)),IF(NOT(ISNUMBER(F170)),1,F170),G170)*H170,2))</f>
        <v>0</v>
      </c>
      <c r="J170" s="76"/>
      <c r="K170" s="77"/>
      <c r="L170" s="78"/>
      <c r="M170" s="73"/>
      <c r="N170" s="79"/>
      <c r="O170" s="75">
        <f t="shared" ref="O170:O201" si="47">IF(MID($D170,3,1)="-","*********",ROUND(IF(NOT(ISNUMBER($G170)),IF(NOT(ISNUMBER($F170)),1,$F170),$G170)*(IF(NOT(ISNUMBER(N170)),L170,N170)),2))</f>
        <v>0</v>
      </c>
      <c r="P170" s="80" t="str">
        <f t="shared" ref="P170:P186" si="48">IF(O$187=0,"",O170/O$187)</f>
        <v/>
      </c>
      <c r="Q170" s="81" t="str">
        <f t="shared" ref="Q170:Q186" si="49">IF($K170=0,"",IF(NOT(ISNUMBER(N170)),L170,N170)/$K170-1)</f>
        <v/>
      </c>
      <c r="R170" s="78"/>
      <c r="S170" s="73"/>
      <c r="T170" s="79"/>
      <c r="U170" s="75">
        <f t="shared" ref="U170:U201" si="50">IF(MID($D170,3,1)="-","*********",ROUND(IF(NOT(ISNUMBER($G170)),IF(NOT(ISNUMBER($F170)),1,$F170),$G170)*(IF(NOT(ISNUMBER(T170)),R170,T170)),2))</f>
        <v>0</v>
      </c>
      <c r="V170" s="80" t="str">
        <f t="shared" ref="V170:V186" si="51">IF(U$187=0,"",U170/U$187)</f>
        <v/>
      </c>
      <c r="W170" s="81" t="str">
        <f t="shared" ref="W170:W186" si="52">IF($K170=0,"",IF(NOT(ISNUMBER(T170)),R170,T170)/$K170-1)</f>
        <v/>
      </c>
      <c r="X170" s="78"/>
      <c r="Y170" s="73"/>
      <c r="Z170" s="79"/>
      <c r="AA170" s="75">
        <f t="shared" ref="AA170:AA201" si="53">IF(MID($D170,3,1)="-","*********",ROUND(IF(NOT(ISNUMBER($G170)),IF(NOT(ISNUMBER($F170)),1,$F170),$G170)*(IF(NOT(ISNUMBER(Z170)),X170,Z170)),2))</f>
        <v>0</v>
      </c>
      <c r="AB170" s="80" t="str">
        <f t="shared" ref="AB170:AB186" si="54">IF(AA$187=0,"",AA170/AA$187)</f>
        <v/>
      </c>
      <c r="AC170" s="81" t="str">
        <f t="shared" ref="AC170:AC186" si="55">IF($K170=0,"",IF(NOT(ISNUMBER(Z170)),X170,Z170)/$K170-1)</f>
        <v/>
      </c>
    </row>
    <row r="171" spans="1:29">
      <c r="A171" s="3"/>
      <c r="B171" s="83" t="str">
        <f>[1]!ArticleCode(Art_54.30.)</f>
        <v>54.30.</v>
      </c>
      <c r="C171" s="84" t="str">
        <f>[1]!ArticleDescription(Art_54.30.)</f>
        <v>deurgehelen - algemeen</v>
      </c>
      <c r="D171" s="73"/>
      <c r="E171" s="73"/>
      <c r="F171" s="73"/>
      <c r="G171" s="73"/>
      <c r="H171" s="75"/>
      <c r="I171" s="75"/>
      <c r="J171" s="76"/>
      <c r="K171" s="77"/>
      <c r="L171" s="78"/>
      <c r="M171" s="73"/>
      <c r="N171" s="79"/>
      <c r="O171" s="75">
        <f t="shared" si="47"/>
        <v>0</v>
      </c>
      <c r="P171" s="80" t="str">
        <f t="shared" si="48"/>
        <v/>
      </c>
      <c r="Q171" s="81" t="str">
        <f t="shared" si="49"/>
        <v/>
      </c>
      <c r="R171" s="78"/>
      <c r="S171" s="73"/>
      <c r="T171" s="79"/>
      <c r="U171" s="75">
        <f t="shared" si="50"/>
        <v>0</v>
      </c>
      <c r="V171" s="80" t="str">
        <f t="shared" si="51"/>
        <v/>
      </c>
      <c r="W171" s="81" t="str">
        <f t="shared" si="52"/>
        <v/>
      </c>
      <c r="X171" s="78"/>
      <c r="Y171" s="73"/>
      <c r="Z171" s="79"/>
      <c r="AA171" s="75">
        <f t="shared" si="53"/>
        <v>0</v>
      </c>
      <c r="AB171" s="80" t="str">
        <f t="shared" si="54"/>
        <v/>
      </c>
      <c r="AC171" s="81" t="str">
        <f t="shared" si="55"/>
        <v/>
      </c>
    </row>
    <row r="172" spans="1:29">
      <c r="A172" s="3"/>
      <c r="B172" s="83" t="str">
        <f>[1]!ArticleCode(Art_54.31.)</f>
        <v>54.31.</v>
      </c>
      <c r="C172" s="84" t="str">
        <f>[1]!ArticleDescription(Art_54.31.)</f>
        <v>deurgehelen – kozijnen hout</v>
      </c>
      <c r="D172" s="73"/>
      <c r="E172" s="73"/>
      <c r="F172" s="73"/>
      <c r="G172" s="73"/>
      <c r="H172" s="75"/>
      <c r="I172" s="75"/>
      <c r="J172" s="76"/>
      <c r="K172" s="77"/>
      <c r="L172" s="78"/>
      <c r="M172" s="73"/>
      <c r="N172" s="79"/>
      <c r="O172" s="75">
        <f t="shared" si="47"/>
        <v>0</v>
      </c>
      <c r="P172" s="80" t="str">
        <f t="shared" si="48"/>
        <v/>
      </c>
      <c r="Q172" s="81" t="str">
        <f t="shared" si="49"/>
        <v/>
      </c>
      <c r="R172" s="78"/>
      <c r="S172" s="73"/>
      <c r="T172" s="79"/>
      <c r="U172" s="75">
        <f t="shared" si="50"/>
        <v>0</v>
      </c>
      <c r="V172" s="80" t="str">
        <f t="shared" si="51"/>
        <v/>
      </c>
      <c r="W172" s="81" t="str">
        <f t="shared" si="52"/>
        <v/>
      </c>
      <c r="X172" s="78"/>
      <c r="Y172" s="73"/>
      <c r="Z172" s="79"/>
      <c r="AA172" s="75">
        <f t="shared" si="53"/>
        <v>0</v>
      </c>
      <c r="AB172" s="80" t="str">
        <f t="shared" si="54"/>
        <v/>
      </c>
      <c r="AC172" s="81" t="str">
        <f t="shared" si="55"/>
        <v/>
      </c>
    </row>
    <row r="173" spans="1:29">
      <c r="A173" s="3">
        <f>A170+1</f>
        <v>54</v>
      </c>
      <c r="B173" s="83" t="str">
        <f>[1]!ArticleCode(Art_54.31.10.)</f>
        <v>54.31.10.</v>
      </c>
      <c r="C173" s="84" t="str">
        <f>[1]!ArticleDescription(Art_54.31.10.)</f>
        <v>deurgehelen – kozijnen hout/brandwerend</v>
      </c>
      <c r="D173" s="73" t="str">
        <f>[1]!ArticleMeasureType(Art_54.31.10.)</f>
        <v>FH</v>
      </c>
      <c r="E173" s="73" t="str">
        <f>[1]!ArticleMeasureUnit(Art_54.31.10.)</f>
        <v>st</v>
      </c>
      <c r="F173" s="91">
        <f>[1]!ArticleQuantity(Art_54.31.10.)</f>
        <v>6</v>
      </c>
      <c r="G173" s="73"/>
      <c r="H173" s="75"/>
      <c r="I173" s="75">
        <f>IF(RIGHT($D173,1)="-","************",ROUND(IF(NOT(ISNUMBER(G173)),IF(NOT(ISNUMBER(F173)),1,F173),G173)*H173,2))</f>
        <v>0</v>
      </c>
      <c r="J173" s="76"/>
      <c r="K173" s="77"/>
      <c r="L173" s="78"/>
      <c r="M173" s="73"/>
      <c r="N173" s="79"/>
      <c r="O173" s="75">
        <f t="shared" si="47"/>
        <v>0</v>
      </c>
      <c r="P173" s="80" t="str">
        <f t="shared" si="48"/>
        <v/>
      </c>
      <c r="Q173" s="81" t="str">
        <f t="shared" si="49"/>
        <v/>
      </c>
      <c r="R173" s="78"/>
      <c r="S173" s="73"/>
      <c r="T173" s="79"/>
      <c r="U173" s="75">
        <f t="shared" si="50"/>
        <v>0</v>
      </c>
      <c r="V173" s="80" t="str">
        <f t="shared" si="51"/>
        <v/>
      </c>
      <c r="W173" s="81" t="str">
        <f t="shared" si="52"/>
        <v/>
      </c>
      <c r="X173" s="78"/>
      <c r="Y173" s="73"/>
      <c r="Z173" s="79"/>
      <c r="AA173" s="75">
        <f t="shared" si="53"/>
        <v>0</v>
      </c>
      <c r="AB173" s="80" t="str">
        <f t="shared" si="54"/>
        <v/>
      </c>
      <c r="AC173" s="81" t="str">
        <f t="shared" si="55"/>
        <v/>
      </c>
    </row>
    <row r="174" spans="1:29">
      <c r="A174" s="3"/>
      <c r="B174" s="83" t="str">
        <f>[1]!ArticleCode(Art_54.60.)</f>
        <v>54.60.</v>
      </c>
      <c r="C174" s="84" t="str">
        <f>[1]!ArticleDescription(Art_54.60.)</f>
        <v>hang- en sluitwerk - algemeen</v>
      </c>
      <c r="D174" s="73"/>
      <c r="E174" s="73"/>
      <c r="F174" s="73"/>
      <c r="G174" s="73"/>
      <c r="H174" s="75"/>
      <c r="I174" s="75"/>
      <c r="J174" s="76"/>
      <c r="K174" s="77"/>
      <c r="L174" s="78"/>
      <c r="M174" s="73"/>
      <c r="N174" s="79"/>
      <c r="O174" s="75">
        <f t="shared" si="47"/>
        <v>0</v>
      </c>
      <c r="P174" s="80" t="str">
        <f t="shared" si="48"/>
        <v/>
      </c>
      <c r="Q174" s="81" t="str">
        <f t="shared" si="49"/>
        <v/>
      </c>
      <c r="R174" s="78"/>
      <c r="S174" s="73"/>
      <c r="T174" s="79"/>
      <c r="U174" s="75">
        <f t="shared" si="50"/>
        <v>0</v>
      </c>
      <c r="V174" s="80" t="str">
        <f t="shared" si="51"/>
        <v/>
      </c>
      <c r="W174" s="81" t="str">
        <f t="shared" si="52"/>
        <v/>
      </c>
      <c r="X174" s="78"/>
      <c r="Y174" s="73"/>
      <c r="Z174" s="79"/>
      <c r="AA174" s="75">
        <f t="shared" si="53"/>
        <v>0</v>
      </c>
      <c r="AB174" s="80" t="str">
        <f t="shared" si="54"/>
        <v/>
      </c>
      <c r="AC174" s="81" t="str">
        <f t="shared" si="55"/>
        <v/>
      </c>
    </row>
    <row r="175" spans="1:29">
      <c r="A175" s="3"/>
      <c r="B175" s="83" t="str">
        <f>[1]!ArticleCode(Art_54.61.)</f>
        <v>54.61.</v>
      </c>
      <c r="C175" s="84" t="str">
        <f>[1]!ArticleDescription(Art_54.61.)</f>
        <v>hang- en sluitwerk - scharnieren en paumellen</v>
      </c>
      <c r="D175" s="73"/>
      <c r="E175" s="73"/>
      <c r="F175" s="73"/>
      <c r="G175" s="73"/>
      <c r="H175" s="75"/>
      <c r="I175" s="75"/>
      <c r="J175" s="76"/>
      <c r="K175" s="77"/>
      <c r="L175" s="78"/>
      <c r="M175" s="73"/>
      <c r="N175" s="79"/>
      <c r="O175" s="75">
        <f t="shared" si="47"/>
        <v>0</v>
      </c>
      <c r="P175" s="80" t="str">
        <f t="shared" si="48"/>
        <v/>
      </c>
      <c r="Q175" s="81" t="str">
        <f t="shared" si="49"/>
        <v/>
      </c>
      <c r="R175" s="78"/>
      <c r="S175" s="73"/>
      <c r="T175" s="79"/>
      <c r="U175" s="75">
        <f t="shared" si="50"/>
        <v>0</v>
      </c>
      <c r="V175" s="80" t="str">
        <f t="shared" si="51"/>
        <v/>
      </c>
      <c r="W175" s="81" t="str">
        <f t="shared" si="52"/>
        <v/>
      </c>
      <c r="X175" s="78"/>
      <c r="Y175" s="73"/>
      <c r="Z175" s="79"/>
      <c r="AA175" s="75">
        <f t="shared" si="53"/>
        <v>0</v>
      </c>
      <c r="AB175" s="80" t="str">
        <f t="shared" si="54"/>
        <v/>
      </c>
      <c r="AC175" s="81" t="str">
        <f t="shared" si="55"/>
        <v/>
      </c>
    </row>
    <row r="176" spans="1:29">
      <c r="A176" s="3">
        <f>A173+1</f>
        <v>55</v>
      </c>
      <c r="B176" s="83" t="str">
        <f>[1]!ArticleCode(Art_54.61.10.)</f>
        <v>54.61.10.</v>
      </c>
      <c r="C176" s="84" t="str">
        <f>[1]!ArticleDescription(Art_54.61.10.)</f>
        <v>hang- en sluitwerk - scharnieren en paumellen/aluminium of vernikkeld staal</v>
      </c>
      <c r="D176" s="73" t="str">
        <f>[1]!ArticleMeasureType(Art_54.61.10.)</f>
        <v>PM</v>
      </c>
      <c r="E176" s="73" t="str">
        <f>[1]!ArticleMeasureUnit(Art_54.61.10.)</f>
        <v/>
      </c>
      <c r="F176" s="91" t="str">
        <f>[1]!ArticleQuantity(Art_54.61.10.)</f>
        <v/>
      </c>
      <c r="G176" s="73"/>
      <c r="H176" s="75"/>
      <c r="I176" s="75">
        <f>IF(RIGHT($D176,1)="-","************",ROUND(IF(NOT(ISNUMBER(G176)),IF(NOT(ISNUMBER(F176)),1,F176),G176)*H176,2))</f>
        <v>0</v>
      </c>
      <c r="J176" s="76"/>
      <c r="K176" s="77"/>
      <c r="L176" s="78"/>
      <c r="M176" s="73"/>
      <c r="N176" s="79"/>
      <c r="O176" s="75">
        <f t="shared" si="47"/>
        <v>0</v>
      </c>
      <c r="P176" s="80" t="str">
        <f t="shared" si="48"/>
        <v/>
      </c>
      <c r="Q176" s="81" t="str">
        <f t="shared" si="49"/>
        <v/>
      </c>
      <c r="R176" s="78"/>
      <c r="S176" s="73"/>
      <c r="T176" s="79"/>
      <c r="U176" s="75">
        <f t="shared" si="50"/>
        <v>0</v>
      </c>
      <c r="V176" s="80" t="str">
        <f t="shared" si="51"/>
        <v/>
      </c>
      <c r="W176" s="81" t="str">
        <f t="shared" si="52"/>
        <v/>
      </c>
      <c r="X176" s="78"/>
      <c r="Y176" s="73"/>
      <c r="Z176" s="79"/>
      <c r="AA176" s="75">
        <f t="shared" si="53"/>
        <v>0</v>
      </c>
      <c r="AB176" s="80" t="str">
        <f t="shared" si="54"/>
        <v/>
      </c>
      <c r="AC176" s="81" t="str">
        <f t="shared" si="55"/>
        <v/>
      </c>
    </row>
    <row r="177" spans="1:29">
      <c r="A177" s="3"/>
      <c r="B177" s="83" t="str">
        <f>[1]!ArticleCode(Art_54.62.)</f>
        <v>54.62.</v>
      </c>
      <c r="C177" s="84" t="str">
        <f>[1]!ArticleDescription(Art_54.62.)</f>
        <v>hang- en sluitwerk - deursloten</v>
      </c>
      <c r="D177" s="73"/>
      <c r="E177" s="73"/>
      <c r="F177" s="73"/>
      <c r="G177" s="73"/>
      <c r="H177" s="75"/>
      <c r="I177" s="75"/>
      <c r="J177" s="76"/>
      <c r="K177" s="77"/>
      <c r="L177" s="78"/>
      <c r="M177" s="73"/>
      <c r="N177" s="79"/>
      <c r="O177" s="75">
        <f t="shared" si="47"/>
        <v>0</v>
      </c>
      <c r="P177" s="80" t="str">
        <f t="shared" si="48"/>
        <v/>
      </c>
      <c r="Q177" s="81" t="str">
        <f t="shared" si="49"/>
        <v/>
      </c>
      <c r="R177" s="78"/>
      <c r="S177" s="73"/>
      <c r="T177" s="79"/>
      <c r="U177" s="75">
        <f t="shared" si="50"/>
        <v>0</v>
      </c>
      <c r="V177" s="80" t="str">
        <f t="shared" si="51"/>
        <v/>
      </c>
      <c r="W177" s="81" t="str">
        <f t="shared" si="52"/>
        <v/>
      </c>
      <c r="X177" s="78"/>
      <c r="Y177" s="73"/>
      <c r="Z177" s="79"/>
      <c r="AA177" s="75">
        <f t="shared" si="53"/>
        <v>0</v>
      </c>
      <c r="AB177" s="80" t="str">
        <f t="shared" si="54"/>
        <v/>
      </c>
      <c r="AC177" s="81" t="str">
        <f t="shared" si="55"/>
        <v/>
      </c>
    </row>
    <row r="178" spans="1:29">
      <c r="A178" s="3">
        <f>A176+1</f>
        <v>56</v>
      </c>
      <c r="B178" s="83" t="str">
        <f>[1]!ArticleCode(Art_54.62.20.)</f>
        <v>54.62.20.</v>
      </c>
      <c r="C178" s="84" t="str">
        <f>[1]!ArticleDescription(Art_54.62.20.)</f>
        <v>hang- en sluitwerk – deursloten/veiligheidssloten</v>
      </c>
      <c r="D178" s="73" t="str">
        <f>[1]!ArticleMeasureType(Art_54.62.20.)</f>
        <v>PM</v>
      </c>
      <c r="E178" s="73" t="str">
        <f>[1]!ArticleMeasureUnit(Art_54.62.20.)</f>
        <v/>
      </c>
      <c r="F178" s="91" t="str">
        <f>[1]!ArticleQuantity(Art_54.62.20.)</f>
        <v/>
      </c>
      <c r="G178" s="73"/>
      <c r="H178" s="75"/>
      <c r="I178" s="75">
        <f>IF(RIGHT($D178,1)="-","************",ROUND(IF(NOT(ISNUMBER(G178)),IF(NOT(ISNUMBER(F178)),1,F178),G178)*H178,2))</f>
        <v>0</v>
      </c>
      <c r="J178" s="76"/>
      <c r="K178" s="77"/>
      <c r="L178" s="78"/>
      <c r="M178" s="73"/>
      <c r="N178" s="79"/>
      <c r="O178" s="75">
        <f t="shared" si="47"/>
        <v>0</v>
      </c>
      <c r="P178" s="80" t="str">
        <f t="shared" si="48"/>
        <v/>
      </c>
      <c r="Q178" s="81" t="str">
        <f t="shared" si="49"/>
        <v/>
      </c>
      <c r="R178" s="78"/>
      <c r="S178" s="73"/>
      <c r="T178" s="79"/>
      <c r="U178" s="75">
        <f t="shared" si="50"/>
        <v>0</v>
      </c>
      <c r="V178" s="80" t="str">
        <f t="shared" si="51"/>
        <v/>
      </c>
      <c r="W178" s="81" t="str">
        <f t="shared" si="52"/>
        <v/>
      </c>
      <c r="X178" s="78"/>
      <c r="Y178" s="73"/>
      <c r="Z178" s="79"/>
      <c r="AA178" s="75">
        <f t="shared" si="53"/>
        <v>0</v>
      </c>
      <c r="AB178" s="80" t="str">
        <f t="shared" si="54"/>
        <v/>
      </c>
      <c r="AC178" s="81" t="str">
        <f t="shared" si="55"/>
        <v/>
      </c>
    </row>
    <row r="179" spans="1:29">
      <c r="A179" s="3">
        <f>A178+1</f>
        <v>57</v>
      </c>
      <c r="B179" s="83" t="str">
        <f>[1]!ArticleCode(Art_54.62.40.)</f>
        <v>54.62.40.</v>
      </c>
      <c r="C179" s="84" t="str">
        <f>[1]!ArticleDescription(Art_54.62.40.)</f>
        <v>hang- en sluitwerk – deursloten/kantschuiven</v>
      </c>
      <c r="D179" s="73" t="str">
        <f>[1]!ArticleMeasureType(Art_54.62.40.)</f>
        <v>PM</v>
      </c>
      <c r="E179" s="73" t="str">
        <f>[1]!ArticleMeasureUnit(Art_54.62.40.)</f>
        <v/>
      </c>
      <c r="F179" s="91" t="str">
        <f>[1]!ArticleQuantity(Art_54.62.40.)</f>
        <v/>
      </c>
      <c r="G179" s="73"/>
      <c r="H179" s="75"/>
      <c r="I179" s="75">
        <f>IF(RIGHT($D179,1)="-","************",ROUND(IF(NOT(ISNUMBER(G179)),IF(NOT(ISNUMBER(F179)),1,F179),G179)*H179,2))</f>
        <v>0</v>
      </c>
      <c r="J179" s="76"/>
      <c r="K179" s="77"/>
      <c r="L179" s="78"/>
      <c r="M179" s="73"/>
      <c r="N179" s="79"/>
      <c r="O179" s="75">
        <f t="shared" si="47"/>
        <v>0</v>
      </c>
      <c r="P179" s="80" t="str">
        <f t="shared" si="48"/>
        <v/>
      </c>
      <c r="Q179" s="81" t="str">
        <f t="shared" si="49"/>
        <v/>
      </c>
      <c r="R179" s="78"/>
      <c r="S179" s="73"/>
      <c r="T179" s="79"/>
      <c r="U179" s="75">
        <f t="shared" si="50"/>
        <v>0</v>
      </c>
      <c r="V179" s="80" t="str">
        <f t="shared" si="51"/>
        <v/>
      </c>
      <c r="W179" s="81" t="str">
        <f t="shared" si="52"/>
        <v/>
      </c>
      <c r="X179" s="78"/>
      <c r="Y179" s="73"/>
      <c r="Z179" s="79"/>
      <c r="AA179" s="75">
        <f t="shared" si="53"/>
        <v>0</v>
      </c>
      <c r="AB179" s="80" t="str">
        <f t="shared" si="54"/>
        <v/>
      </c>
      <c r="AC179" s="81" t="str">
        <f t="shared" si="55"/>
        <v/>
      </c>
    </row>
    <row r="180" spans="1:29">
      <c r="A180" s="3">
        <f>A179+1</f>
        <v>58</v>
      </c>
      <c r="B180" s="83" t="str">
        <f>[1]!ArticleCode(Art_54.62.50.)</f>
        <v>54.62.50.</v>
      </c>
      <c r="C180" s="84" t="str">
        <f>[1]!ArticleDescription(Art_54.62.50.)</f>
        <v>hang- en sluitwerk – deursloten/panieksluitingen</v>
      </c>
      <c r="D180" s="73" t="str">
        <f>[1]!ArticleMeasureType(Art_54.62.50.)</f>
        <v>PM</v>
      </c>
      <c r="E180" s="73" t="str">
        <f>[1]!ArticleMeasureUnit(Art_54.62.50.)</f>
        <v/>
      </c>
      <c r="F180" s="91" t="str">
        <f>[1]!ArticleQuantity(Art_54.62.50.)</f>
        <v/>
      </c>
      <c r="G180" s="73"/>
      <c r="H180" s="75"/>
      <c r="I180" s="75">
        <f>IF(RIGHT($D180,1)="-","************",ROUND(IF(NOT(ISNUMBER(G180)),IF(NOT(ISNUMBER(F180)),1,F180),G180)*H180,2))</f>
        <v>0</v>
      </c>
      <c r="J180" s="76"/>
      <c r="K180" s="77"/>
      <c r="L180" s="78"/>
      <c r="M180" s="73"/>
      <c r="N180" s="79"/>
      <c r="O180" s="75">
        <f t="shared" si="47"/>
        <v>0</v>
      </c>
      <c r="P180" s="80" t="str">
        <f t="shared" si="48"/>
        <v/>
      </c>
      <c r="Q180" s="81" t="str">
        <f t="shared" si="49"/>
        <v/>
      </c>
      <c r="R180" s="78"/>
      <c r="S180" s="73"/>
      <c r="T180" s="79"/>
      <c r="U180" s="75">
        <f t="shared" si="50"/>
        <v>0</v>
      </c>
      <c r="V180" s="80" t="str">
        <f t="shared" si="51"/>
        <v/>
      </c>
      <c r="W180" s="81" t="str">
        <f t="shared" si="52"/>
        <v/>
      </c>
      <c r="X180" s="78"/>
      <c r="Y180" s="73"/>
      <c r="Z180" s="79"/>
      <c r="AA180" s="75">
        <f t="shared" si="53"/>
        <v>0</v>
      </c>
      <c r="AB180" s="80" t="str">
        <f t="shared" si="54"/>
        <v/>
      </c>
      <c r="AC180" s="81" t="str">
        <f t="shared" si="55"/>
        <v/>
      </c>
    </row>
    <row r="181" spans="1:29">
      <c r="A181" s="3"/>
      <c r="B181" s="83" t="str">
        <f>[1]!ArticleCode(Art_54.63.)</f>
        <v>54.63.</v>
      </c>
      <c r="C181" s="84" t="str">
        <f>[1]!ArticleDescription(Art_54.63.)</f>
        <v>hang- en sluitwerk - deurkrukken</v>
      </c>
      <c r="D181" s="73"/>
      <c r="E181" s="73"/>
      <c r="F181" s="73"/>
      <c r="G181" s="73"/>
      <c r="H181" s="75"/>
      <c r="I181" s="75"/>
      <c r="J181" s="76"/>
      <c r="K181" s="77"/>
      <c r="L181" s="78"/>
      <c r="M181" s="73"/>
      <c r="N181" s="79"/>
      <c r="O181" s="75">
        <f t="shared" si="47"/>
        <v>0</v>
      </c>
      <c r="P181" s="80" t="str">
        <f t="shared" si="48"/>
        <v/>
      </c>
      <c r="Q181" s="81" t="str">
        <f t="shared" si="49"/>
        <v/>
      </c>
      <c r="R181" s="78"/>
      <c r="S181" s="73"/>
      <c r="T181" s="79"/>
      <c r="U181" s="75">
        <f t="shared" si="50"/>
        <v>0</v>
      </c>
      <c r="V181" s="80" t="str">
        <f t="shared" si="51"/>
        <v/>
      </c>
      <c r="W181" s="81" t="str">
        <f t="shared" si="52"/>
        <v/>
      </c>
      <c r="X181" s="78"/>
      <c r="Y181" s="73"/>
      <c r="Z181" s="79"/>
      <c r="AA181" s="75">
        <f t="shared" si="53"/>
        <v>0</v>
      </c>
      <c r="AB181" s="80" t="str">
        <f t="shared" si="54"/>
        <v/>
      </c>
      <c r="AC181" s="81" t="str">
        <f t="shared" si="55"/>
        <v/>
      </c>
    </row>
    <row r="182" spans="1:29">
      <c r="A182" s="3">
        <f>A180+1</f>
        <v>59</v>
      </c>
      <c r="B182" s="83" t="str">
        <f>[1]!ArticleCode(Art_54.63.10.)</f>
        <v>54.63.10.</v>
      </c>
      <c r="C182" s="84" t="str">
        <f>[1]!ArticleDescription(Art_54.63.10.)</f>
        <v>hang- en sluitwerk – deurkrukken/aluminium</v>
      </c>
      <c r="D182" s="73" t="str">
        <f>[1]!ArticleMeasureType(Art_54.63.10.)</f>
        <v>PM</v>
      </c>
      <c r="E182" s="73" t="str">
        <f>[1]!ArticleMeasureUnit(Art_54.63.10.)</f>
        <v/>
      </c>
      <c r="F182" s="91" t="str">
        <f>[1]!ArticleQuantity(Art_54.63.10.)</f>
        <v/>
      </c>
      <c r="G182" s="73"/>
      <c r="H182" s="75"/>
      <c r="I182" s="75">
        <f>IF(RIGHT($D182,1)="-","************",ROUND(IF(NOT(ISNUMBER(G182)),IF(NOT(ISNUMBER(F182)),1,F182),G182)*H182,2))</f>
        <v>0</v>
      </c>
      <c r="J182" s="76"/>
      <c r="K182" s="77"/>
      <c r="L182" s="78"/>
      <c r="M182" s="73"/>
      <c r="N182" s="79"/>
      <c r="O182" s="75">
        <f t="shared" si="47"/>
        <v>0</v>
      </c>
      <c r="P182" s="80" t="str">
        <f t="shared" si="48"/>
        <v/>
      </c>
      <c r="Q182" s="81" t="str">
        <f t="shared" si="49"/>
        <v/>
      </c>
      <c r="R182" s="78"/>
      <c r="S182" s="73"/>
      <c r="T182" s="79"/>
      <c r="U182" s="75">
        <f t="shared" si="50"/>
        <v>0</v>
      </c>
      <c r="V182" s="80" t="str">
        <f t="shared" si="51"/>
        <v/>
      </c>
      <c r="W182" s="81" t="str">
        <f t="shared" si="52"/>
        <v/>
      </c>
      <c r="X182" s="78"/>
      <c r="Y182" s="73"/>
      <c r="Z182" s="79"/>
      <c r="AA182" s="75">
        <f t="shared" si="53"/>
        <v>0</v>
      </c>
      <c r="AB182" s="80" t="str">
        <f t="shared" si="54"/>
        <v/>
      </c>
      <c r="AC182" s="81" t="str">
        <f t="shared" si="55"/>
        <v/>
      </c>
    </row>
    <row r="183" spans="1:29">
      <c r="A183" s="3">
        <f>A182+1</f>
        <v>60</v>
      </c>
      <c r="B183" s="83" t="str">
        <f>[1]!ArticleCode(Art_54.65.)</f>
        <v>54.65.</v>
      </c>
      <c r="C183" s="84" t="str">
        <f>[1]!ArticleDescription(Art_54.65.)</f>
        <v>hang- en sluitwerk - deurdrangers</v>
      </c>
      <c r="D183" s="73" t="str">
        <f>[1]!ArticleMeasureType(Art_54.65.)</f>
        <v>PM</v>
      </c>
      <c r="E183" s="73" t="str">
        <f>[1]!ArticleMeasureUnit(Art_54.65.)</f>
        <v/>
      </c>
      <c r="F183" s="91" t="str">
        <f>[1]!ArticleQuantity(Art_54.65.)</f>
        <v/>
      </c>
      <c r="G183" s="73"/>
      <c r="H183" s="75"/>
      <c r="I183" s="75">
        <f>IF(RIGHT($D183,1)="-","************",ROUND(IF(NOT(ISNUMBER(G183)),IF(NOT(ISNUMBER(F183)),1,F183),G183)*H183,2))</f>
        <v>0</v>
      </c>
      <c r="J183" s="76"/>
      <c r="K183" s="77"/>
      <c r="L183" s="78"/>
      <c r="M183" s="73"/>
      <c r="N183" s="79"/>
      <c r="O183" s="75">
        <f t="shared" si="47"/>
        <v>0</v>
      </c>
      <c r="P183" s="80" t="str">
        <f t="shared" si="48"/>
        <v/>
      </c>
      <c r="Q183" s="81" t="str">
        <f t="shared" si="49"/>
        <v/>
      </c>
      <c r="R183" s="78"/>
      <c r="S183" s="73"/>
      <c r="T183" s="79"/>
      <c r="U183" s="75">
        <f t="shared" si="50"/>
        <v>0</v>
      </c>
      <c r="V183" s="80" t="str">
        <f t="shared" si="51"/>
        <v/>
      </c>
      <c r="W183" s="81" t="str">
        <f t="shared" si="52"/>
        <v/>
      </c>
      <c r="X183" s="78"/>
      <c r="Y183" s="73"/>
      <c r="Z183" s="79"/>
      <c r="AA183" s="75">
        <f t="shared" si="53"/>
        <v>0</v>
      </c>
      <c r="AB183" s="80" t="str">
        <f t="shared" si="54"/>
        <v/>
      </c>
      <c r="AC183" s="81" t="str">
        <f t="shared" si="55"/>
        <v/>
      </c>
    </row>
    <row r="184" spans="1:29">
      <c r="A184" s="3"/>
      <c r="B184" s="83" t="str">
        <f>[1]!ArticleCode(Art_54.80.)</f>
        <v>54.80.</v>
      </c>
      <c r="C184" s="84" t="str">
        <f>[1]!ArticleDescription(Art_54.80.)</f>
        <v>toebehoren - algemeen</v>
      </c>
      <c r="D184" s="73"/>
      <c r="E184" s="73"/>
      <c r="F184" s="73"/>
      <c r="G184" s="73"/>
      <c r="H184" s="75"/>
      <c r="I184" s="75"/>
      <c r="J184" s="76"/>
      <c r="K184" s="77"/>
      <c r="L184" s="78"/>
      <c r="M184" s="73"/>
      <c r="N184" s="79"/>
      <c r="O184" s="75">
        <f t="shared" si="47"/>
        <v>0</v>
      </c>
      <c r="P184" s="80" t="str">
        <f t="shared" si="48"/>
        <v/>
      </c>
      <c r="Q184" s="81" t="str">
        <f t="shared" si="49"/>
        <v/>
      </c>
      <c r="R184" s="78"/>
      <c r="S184" s="73"/>
      <c r="T184" s="79"/>
      <c r="U184" s="75">
        <f t="shared" si="50"/>
        <v>0</v>
      </c>
      <c r="V184" s="80" t="str">
        <f t="shared" si="51"/>
        <v/>
      </c>
      <c r="W184" s="81" t="str">
        <f t="shared" si="52"/>
        <v/>
      </c>
      <c r="X184" s="78"/>
      <c r="Y184" s="73"/>
      <c r="Z184" s="79"/>
      <c r="AA184" s="75">
        <f t="shared" si="53"/>
        <v>0</v>
      </c>
      <c r="AB184" s="80" t="str">
        <f t="shared" si="54"/>
        <v/>
      </c>
      <c r="AC184" s="81" t="str">
        <f t="shared" si="55"/>
        <v/>
      </c>
    </row>
    <row r="185" spans="1:29">
      <c r="A185" s="3">
        <f>A183+1</f>
        <v>61</v>
      </c>
      <c r="B185" s="83" t="str">
        <f>[1]!ArticleCode(Art_54.86.)</f>
        <v>54.86.</v>
      </c>
      <c r="C185" s="84" t="str">
        <f>[1]!ArticleDescription(Art_54.86.)</f>
        <v>toebehoren - deurstoppen</v>
      </c>
      <c r="D185" s="73" t="str">
        <f>[1]!ArticleMeasureType(Art_54.86.)</f>
        <v>FH</v>
      </c>
      <c r="E185" s="73" t="str">
        <f>[1]!ArticleMeasureUnit(Art_54.86.)</f>
        <v>st</v>
      </c>
      <c r="F185" s="91">
        <f>[1]!ArticleQuantity(Art_54.86.)</f>
        <v>13</v>
      </c>
      <c r="G185" s="73"/>
      <c r="H185" s="75"/>
      <c r="I185" s="75">
        <f>IF(RIGHT($D185,1)="-","************",ROUND(IF(NOT(ISNUMBER(G185)),IF(NOT(ISNUMBER(F185)),1,F185),G185)*H185,2))</f>
        <v>0</v>
      </c>
      <c r="J185" s="76"/>
      <c r="K185" s="77"/>
      <c r="L185" s="78"/>
      <c r="M185" s="73"/>
      <c r="N185" s="79"/>
      <c r="O185" s="75">
        <f t="shared" si="47"/>
        <v>0</v>
      </c>
      <c r="P185" s="80" t="str">
        <f t="shared" si="48"/>
        <v/>
      </c>
      <c r="Q185" s="81" t="str">
        <f t="shared" si="49"/>
        <v/>
      </c>
      <c r="R185" s="78"/>
      <c r="S185" s="73"/>
      <c r="T185" s="79"/>
      <c r="U185" s="75">
        <f t="shared" si="50"/>
        <v>0</v>
      </c>
      <c r="V185" s="80" t="str">
        <f t="shared" si="51"/>
        <v/>
      </c>
      <c r="W185" s="81" t="str">
        <f t="shared" si="52"/>
        <v/>
      </c>
      <c r="X185" s="78"/>
      <c r="Y185" s="73"/>
      <c r="Z185" s="79"/>
      <c r="AA185" s="75">
        <f t="shared" si="53"/>
        <v>0</v>
      </c>
      <c r="AB185" s="80" t="str">
        <f t="shared" si="54"/>
        <v/>
      </c>
      <c r="AC185" s="81" t="str">
        <f t="shared" si="55"/>
        <v/>
      </c>
    </row>
    <row r="186" spans="1:29">
      <c r="A186" s="3"/>
      <c r="B186" s="85"/>
      <c r="C186" s="86"/>
      <c r="D186" s="87"/>
      <c r="E186" s="86"/>
      <c r="F186" s="86"/>
      <c r="G186" s="86"/>
      <c r="H186" s="88"/>
      <c r="I186" s="88"/>
      <c r="J186" s="89">
        <f>SUBTOTAL(9,I158:I185)</f>
        <v>0</v>
      </c>
      <c r="K186" s="77"/>
      <c r="L186" s="78"/>
      <c r="M186" s="73"/>
      <c r="N186" s="79"/>
      <c r="O186" s="75">
        <f t="shared" si="47"/>
        <v>0</v>
      </c>
      <c r="P186" s="80" t="str">
        <f t="shared" si="48"/>
        <v/>
      </c>
      <c r="Q186" s="81" t="str">
        <f t="shared" si="49"/>
        <v/>
      </c>
      <c r="R186" s="78"/>
      <c r="S186" s="73"/>
      <c r="T186" s="79"/>
      <c r="U186" s="75">
        <f t="shared" si="50"/>
        <v>0</v>
      </c>
      <c r="V186" s="80" t="str">
        <f t="shared" si="51"/>
        <v/>
      </c>
      <c r="W186" s="81" t="str">
        <f t="shared" si="52"/>
        <v/>
      </c>
      <c r="X186" s="78"/>
      <c r="Y186" s="73"/>
      <c r="Z186" s="79"/>
      <c r="AA186" s="75">
        <f t="shared" si="53"/>
        <v>0</v>
      </c>
      <c r="AB186" s="80" t="str">
        <f t="shared" si="54"/>
        <v/>
      </c>
      <c r="AC186" s="81" t="str">
        <f t="shared" si="55"/>
        <v/>
      </c>
    </row>
    <row r="187" spans="1:29">
      <c r="A187" s="93"/>
      <c r="B187" s="93"/>
      <c r="C187" s="93"/>
      <c r="D187" s="93"/>
      <c r="E187" s="93"/>
      <c r="F187" s="94"/>
      <c r="G187" s="95" t="s">
        <v>318</v>
      </c>
      <c r="H187" s="96"/>
      <c r="I187" s="97">
        <f>SUM(I$11:I186)</f>
        <v>0</v>
      </c>
      <c r="J187" s="98">
        <f>SUM(J$11:J186)</f>
        <v>0</v>
      </c>
      <c r="K187" s="99"/>
      <c r="L187" s="49"/>
      <c r="M187" s="49"/>
      <c r="N187" s="49"/>
      <c r="O187" s="49">
        <f>SUM(O$10:O186)</f>
        <v>0</v>
      </c>
      <c r="P187" s="49"/>
      <c r="Q187" s="49"/>
      <c r="R187" s="49"/>
      <c r="S187" s="49"/>
      <c r="T187" s="49"/>
      <c r="U187" s="49">
        <f>SUM(U$10:U186)</f>
        <v>0</v>
      </c>
      <c r="V187" s="49"/>
      <c r="W187" s="49"/>
      <c r="X187" s="49"/>
      <c r="Y187" s="49"/>
      <c r="Z187" s="49"/>
      <c r="AA187" s="49">
        <f>SUM(AA$10:AA186)</f>
        <v>0</v>
      </c>
      <c r="AB187" s="49"/>
      <c r="AC187" s="49"/>
    </row>
    <row r="188" spans="1:29">
      <c r="A188" s="100"/>
      <c r="B188" s="100"/>
      <c r="C188" s="100"/>
      <c r="D188" s="100"/>
      <c r="E188" s="100"/>
      <c r="F188" s="100"/>
      <c r="G188" s="101"/>
      <c r="H188" s="102"/>
      <c r="I188" s="103"/>
      <c r="J188" s="104"/>
      <c r="K188" s="3"/>
    </row>
    <row r="189" spans="1:29">
      <c r="A189" s="100"/>
      <c r="B189" s="100"/>
      <c r="C189" s="100"/>
      <c r="D189" s="100"/>
      <c r="E189" s="100"/>
      <c r="F189" s="100"/>
      <c r="G189" s="105" t="s">
        <v>319</v>
      </c>
      <c r="H189" s="106">
        <v>0.21</v>
      </c>
      <c r="I189" s="107">
        <f>ROUND(I187*H189,2)</f>
        <v>0</v>
      </c>
      <c r="J189" s="104">
        <f>ROUND(J187*H189,2)</f>
        <v>0</v>
      </c>
      <c r="K189" s="3"/>
    </row>
    <row r="190" spans="1:29">
      <c r="A190" s="100"/>
      <c r="B190" s="100"/>
      <c r="C190" s="100"/>
      <c r="D190" s="100"/>
      <c r="E190" s="100"/>
      <c r="F190" s="100"/>
      <c r="G190" s="101"/>
      <c r="H190" s="102"/>
      <c r="I190" s="97"/>
      <c r="J190" s="98"/>
      <c r="K190" s="3"/>
    </row>
    <row r="191" spans="1:29" ht="13.5" thickBot="1">
      <c r="A191" s="100"/>
      <c r="B191" s="100"/>
      <c r="C191" s="100"/>
      <c r="D191" s="100"/>
      <c r="E191" s="100"/>
      <c r="F191" s="100"/>
      <c r="G191" s="108" t="s">
        <v>320</v>
      </c>
      <c r="H191" s="109"/>
      <c r="I191" s="110">
        <f>I189+I187</f>
        <v>0</v>
      </c>
      <c r="J191" s="111">
        <f>J189+J187</f>
        <v>0</v>
      </c>
      <c r="K191" s="3"/>
    </row>
    <row r="192" spans="1:29" ht="13.5" thickTop="1"/>
  </sheetData>
  <customSheetViews>
    <customSheetView guid="{C35C09A1-5BE4-4EF8-A92C-511B0418C985}" hiddenRows="1" hiddenColumns="1" topLeftCell="A2">
      <pane xSplit="10" ySplit="7" topLeftCell="S9" activePane="bottomRight" state="frozen"/>
      <selection pane="bottomRight" activeCell="A9" sqref="A9"/>
    </customSheetView>
    <customSheetView guid="{7ACB7EB3-21E5-461F-8F50-99F8226D387A}" hiddenRows="1" hiddenColumns="1" topLeftCell="A2">
      <pane xSplit="10" ySplit="7" topLeftCell="S9" activePane="bottomRight" state="frozen"/>
      <selection pane="bottomRight" activeCell="A9" sqref="A9"/>
    </customSheetView>
  </customSheetViews>
  <mergeCells count="1">
    <mergeCell ref="D9:E9"/>
  </mergeCells>
  <pageMargins left="0.27559055118110237" right="0.27559055118110237" top="0.78740157480314965" bottom="0.78740157480314965" header="0.51181102362204722" footer="0.51181102362204722"/>
  <pageSetup paperSize="9" orientation="landscape" horizontalDpi="300" verticalDpi="300" r:id="rId1"/>
  <headerFooter alignWithMargins="0">
    <oddHeader>&amp;L&amp;D&amp;CSamenvattende opmeting dossier xxx - lot xxx&amp;R&amp;P</oddHeader>
  </headerFooter>
  <colBreaks count="2" manualBreakCount="2">
    <brk id="10" max="29" man="1"/>
    <brk id="23" max="29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datamerge>
  <properties>
    <property name="Dossiernummer" code="[Dossiernummer]" value="DED17"/>
    <property name="Dossiernaam" code="[Dossiernaam]" value="Woning Eva&amp; David"/>
    <property name="Bouwheer" code="[Bouwheer]" value="Eva&amp;David" link="Bouwheren">
      <property name="ID" code="[Bouwheer.ID]" value="Eva&amp;David"/>
      <property name="Bedrijfsnaam" code="[Bouwheer.Bedrijfsnaam]" value=""/>
      <property name="Bedrijfsvorm" code="[Bouwheer.Bedrijfsvorm]" value=""/>
      <property name="Aanspreking" code="[Bouwheer.Aanspreking]" value="dhr."/>
      <property name="Naam" code="[Bouwheer.Naam]" value="DE REU"/>
      <property name="Voornaam" code="[Bouwheer.Voornaam]" value="David"/>
      <property name="en" code="[Bouwheer.en]" value="&amp;"/>
      <property name="Aanspreking2" code="[Bouwheer.Aanspreking2]" value="mvr."/>
      <property name="Naam2" code="[Bouwheer.Naam2]" value="VAN CAENEGEM"/>
      <property name="Voornaam2" code="[Bouwheer.Voornaam2]" value="Eva"/>
      <property name="BouwheerNaam" code="[Bouwheer.BouwheerNaam]" value="dhr. David DE REU &amp; mvr. Eva VAN CAENEGEM"/>
      <property name="Adres" code="[Bouwheer.Adres]" value="Bollebergen 39"/>
      <property name="Postcode" code="[Bouwheer.Postcode]" value="9052"/>
      <property name="Gemeente" code="[Bouwheer.Gemeente]" value="Zwijnaarde"/>
      <property name="Telefoon" code="[Bouwheer.Telefoon]" value=""/>
      <property name="Email" code="[Bouwheer.Email]" value="" func="@"/>
      <property name="GSM" code="[Bouwheer.GSM]" value=""/>
      <property name="Fax" code="[Bouwheer.Fax]" value=""/>
      <property name="BTW" code="[Bouwheer.BTW]" value=""/>
      <property name="Ondernemingsnummer" code="[Bouwheer.Ondernemingsnummer]" value=""/>
      <property name="MaatschappelijkeZetel" code="[Bouwheer.MaatschappelijkeZetel]" value=""/>
    </property>
    <property name="Dossieromschrijving" code="[Dossieromschrijving]" value="Bouwen van een ééngezinswoning"/>
    <property name="Dossiermap" code="[Dossiermap]" value="DED"/>
    <property name="Dossierdatum" code="[Dossierdatum]" value=""/>
    <property name="Projectstatus" code="[Projectstatus]" value="bouwaanvraag"/>
    <property name="Werf" code="[Werf]" value="Antoon Catriestraat - 9031 Drongen" link="Werven">
      <property name="ID" code="[Werf.ID]" value=""/>
      <property name="Provincie" code="[Werf.Provincie]" value=""/>
      <property name="Adres" code="[Werf.Adres]" value=""/>
      <property name="Postcode" code="[Werf.Postcode]" value=""/>
      <property name="Gemeente" code="[Werf.Gemeente]" value=""/>
      <property name="Telefoon" code="[Werf.Telefoon]" value=""/>
      <property name="Fax" code="[Werf.Fax]" value=""/>
      <property name="DatumStart" code="[Werf.DatumStart]" value=""/>
      <property name="Kadaster" code="[Werf.Kadaster]" value=""/>
      <property name="Verkaveling" code="[Werf.Verkaveling]" value=""/>
      <property name="DatumVerkaveling" code="[Werf.DatumVerkaveling]" value=""/>
      <property name="Werfleider" code="[Werf.Werfleider]" value="" link="Medewerkers">
        <property name="ID" code="[Werf.Werfleider.ID]" value=""/>
        <property name="Naam" code="[Werf.Werfleider.Naam]" value=""/>
        <property name="Voornaam" code="[Werf.Werfleider.Voornaam]" value=""/>
        <property name="Functie" code="[Werf.Werfleider.Functie]" value=""/>
        <property name="Email" code="[Werf.Werfleider.Email]" value="" func="@"/>
      </property>
    </property>
    <group name="Architecten">
      <property name="Architect" code="[Architect]" value="" link="Architecten">
        <property name="ID" code="[Architect.ID]" value=""/>
        <property name="Bedrijfsnaam" code="[Architect.Bedrijfsnaam]" value=""/>
        <property name="Bedrijfsvorm" code="[Architect.Bedrijfsvorm]" value=""/>
        <property name="Aanspreking" code="[Architect.Aanspreking]" value=""/>
        <property name="Naam" code="[Architect.Naam]" value=""/>
        <property name="Voornaam" code="[Architect.Voornaam]" value=""/>
        <property name="Adres" code="[Architect.Adres]" value=""/>
        <property name="Postcode" code="[Architect.Postcode]" value=""/>
        <property name="Gemeente" code="[Architect.Gemeente]" value=""/>
        <property name="Telefoon" code="[Architect.Telefoon]" value=""/>
        <property name="Email" code="[Architect.Email]" value="" func="@"/>
        <property name="GSM" code="[Architect.GSM]" value=""/>
        <property name="Fax" code="[Architect.Fax]" value=""/>
        <property name="Disciplines" code="[Architect.Disciplines]" value=""/>
        <property name="Ondernemingsnummer" code="[Architect.Ondernemingsnummer]" value=""/>
        <property name="MaatschappelijkeZetel" code="[Architect.MaatschappelijkeZetel]" value=""/>
        <property name="RPR" code="[Architect.RPR]" value=""/>
        <property name="OrdeProvincie" code="[Architect.OrdeProvincie]" value=""/>
      </property>
      <property name="Interieurarchitect" code="[Interieurarchitect]" value="" link="Architecten">
        <property name="ID" code="[Interieurarchitect.ID]" value=""/>
        <property name="Bedrijfsnaam" code="[Interieurarchitect.Bedrijfsnaam]" value=""/>
        <property name="Bedrijfsvorm" code="[Interieurarchitect.Bedrijfsvorm]" value=""/>
        <property name="Aanspreking" code="[Interieurarchitect.Aanspreking]" value=""/>
        <property name="Naam" code="[Interieurarchitect.Naam]" value=""/>
        <property name="Voornaam" code="[Interieurarchitect.Voornaam]" value=""/>
        <property name="Adres" code="[Interieurarchitect.Adres]" value=""/>
        <property name="Postcode" code="[Interieurarchitect.Postcode]" value=""/>
        <property name="Gemeente" code="[Interieurarchitect.Gemeente]" value=""/>
        <property name="Telefoon" code="[Interieurarchitect.Telefoon]" value=""/>
        <property name="Email" code="[Interieurarchitect.Email]" value="" func="@"/>
        <property name="GSM" code="[Interieurarchitect.GSM]" value=""/>
        <property name="Fax" code="[Interieurarchitect.Fax]" value=""/>
        <property name="Disciplines" code="[Interieurarchitect.Disciplines]" value=""/>
        <property name="Ondernemingsnummer" code="[Interieurarchitect.Ondernemingsnummer]" value=""/>
        <property name="MaatschappelijkeZetel" code="[Interieurarchitect.MaatschappelijkeZetel]" value=""/>
        <property name="RPR" code="[Interieurarchitect.RPR]" value=""/>
        <property name="OrdeProvincie" code="[Interieurarchitect.OrdeProvincie]" value=""/>
      </property>
      <property name="Tuin_en_landschapsarchitect" code="[Tuin_en_landschapsarchitect]" value="" link="Architecten">
        <property name="ID" code="[Tuin_en_landschapsarchitect.ID]" value=""/>
        <property name="Bedrijfsnaam" code="[Tuin_en_landschapsarchitect.Bedrijfsnaam]" value=""/>
        <property name="Bedrijfsvorm" code="[Tuin_en_landschapsarchitect.Bedrijfsvorm]" value=""/>
        <property name="Aanspreking" code="[Tuin_en_landschapsarchitect.Aanspreking]" value=""/>
        <property name="Naam" code="[Tuin_en_landschapsarchitect.Naam]" value=""/>
        <property name="Voornaam" code="[Tuin_en_landschapsarchitect.Voornaam]" value=""/>
        <property name="Adres" code="[Tuin_en_landschapsarchitect.Adres]" value=""/>
        <property name="Postcode" code="[Tuin_en_landschapsarchitect.Postcode]" value=""/>
        <property name="Gemeente" code="[Tuin_en_landschapsarchitect.Gemeente]" value=""/>
        <property name="Telefoon" code="[Tuin_en_landschapsarchitect.Telefoon]" value=""/>
        <property name="Email" code="[Tuin_en_landschapsarchitect.Email]" value="" func="@"/>
        <property name="GSM" code="[Tuin_en_landschapsarchitect.GSM]" value=""/>
        <property name="Fax" code="[Tuin_en_landschapsarchitect.Fax]" value=""/>
        <property name="Disciplines" code="[Tuin_en_landschapsarchitect.Disciplines]" value=""/>
        <property name="Ondernemingsnummer" code="[Tuin_en_landschapsarchitect.Ondernemingsnummer]" value=""/>
        <property name="MaatschappelijkeZetel" code="[Tuin_en_landschapsarchitect.MaatschappelijkeZetel]" value=""/>
        <property name="RPR" code="[Tuin_en_landschapsarchitect.RPR]" value=""/>
        <property name="OrdeProvincie" code="[Tuin_en_landschapsarchitect.OrdeProvincie]" value=""/>
      </property>
    </group>
    <property name="ProjectLeider" code="[ProjectLeider]" value="" link="Medewerkers">
      <property name="ID" code="[ProjectLeider.ID]" value=""/>
      <property name="Naam" code="[ProjectLeider.Naam]" value=""/>
      <property name="Voornaam" code="[ProjectLeider.Voornaam]" value=""/>
      <property name="Functie" code="[ProjectLeider.Functie]" value=""/>
      <property name="Email" code="[ProjectLeider.Email]" value="" func="@"/>
    </property>
    <group name="Aannemers">
      <property name="Aannemer_Grondwerken" code="[Aannemer_Grondwerken]" value="" link="Aannemers">
        <property name="ID" code="[Aannemer_Grondwerken.ID]" value=""/>
        <property name="Bedrijfsnaam" code="[Aannemer_Grondwerken.Bedrijfsnaam]" value=""/>
        <property name="Bedrijfsvorm" code="[Aannemer_Grondwerken.Bedrijfsvorm]" value=""/>
        <property name="Aanspreking" code="[Aannemer_Grondwerken.Aanspreking]" value=""/>
        <property name="Naam" code="[Aannemer_Grondwerken.Naam]" value=""/>
        <property name="Voornaam" code="[Aannemer_Grondwerken.Voornaam]" value=""/>
        <property name="Adres" code="[Aannemer_Grondwerken.Adres]" value=""/>
        <property name="Postcode" code="[Aannemer_Grondwerken.Postcode]" value=""/>
        <property name="Gemeente" code="[Aannemer_Grondwerken.Gemeente]" value=""/>
        <property name="Telefoon" code="[Aannemer_Grondwerken.Telefoon]" value=""/>
        <property name="Email" code="[Aannemer_Grondwerken.Email]" value="" func="@"/>
        <property name="GSM" code="[Aannemer_Grondwerken.GSM]" value=""/>
        <property name="Fax" code="[Aannemer_Grondwerken.Fax]" value=""/>
        <property name="Ondernemingsnummer" code="[Aannemer_Grondwerken.Ondernemingsnummer]" value=""/>
        <property name="MaatschappelijkeZetel" code="[Aannemer_Grondwerken.MaatschappelijkeZetel]" value=""/>
        <property name="Klasse" code="[Aannemer_Grondwerken.Klasse]" value=""/>
        <property name="Disciplines" code="[Aannemer_Grondwerken.Disciplines]" value=""/>
      </property>
      <property name="Aannemer_Ruwbouw" code="[Aannemer_Ruwbouw]" value="" link="Aannemers">
        <property name="ID" code="[Aannemer_Ruwbouw.ID]" value=""/>
        <property name="Bedrijfsnaam" code="[Aannemer_Ruwbouw.Bedrijfsnaam]" value=""/>
        <property name="Bedrijfsvorm" code="[Aannemer_Ruwbouw.Bedrijfsvorm]" value=""/>
        <property name="Aanspreking" code="[Aannemer_Ruwbouw.Aanspreking]" value=""/>
        <property name="Naam" code="[Aannemer_Ruwbouw.Naam]" value=""/>
        <property name="Voornaam" code="[Aannemer_Ruwbouw.Voornaam]" value=""/>
        <property name="Adres" code="[Aannemer_Ruwbouw.Adres]" value=""/>
        <property name="Postcode" code="[Aannemer_Ruwbouw.Postcode]" value=""/>
        <property name="Gemeente" code="[Aannemer_Ruwbouw.Gemeente]" value=""/>
        <property name="Telefoon" code="[Aannemer_Ruwbouw.Telefoon]" value=""/>
        <property name="Email" code="[Aannemer_Ruwbouw.Email]" value="" func="@"/>
        <property name="GSM" code="[Aannemer_Ruwbouw.GSM]" value=""/>
        <property name="Fax" code="[Aannemer_Ruwbouw.Fax]" value=""/>
        <property name="Ondernemingsnummer" code="[Aannemer_Ruwbouw.Ondernemingsnummer]" value=""/>
        <property name="MaatschappelijkeZetel" code="[Aannemer_Ruwbouw.MaatschappelijkeZetel]" value=""/>
        <property name="Klasse" code="[Aannemer_Ruwbouw.Klasse]" value=""/>
        <property name="Disciplines" code="[Aannemer_Ruwbouw.Disciplines]" value=""/>
      </property>
      <property name="Aannemer_Dakwerken" code="[Aannemer_Dakwerken]" value="" link="Aannemers">
        <property name="ID" code="[Aannemer_Dakwerken.ID]" value=""/>
        <property name="Bedrijfsnaam" code="[Aannemer_Dakwerken.Bedrijfsnaam]" value=""/>
        <property name="Bedrijfsvorm" code="[Aannemer_Dakwerken.Bedrijfsvorm]" value=""/>
        <property name="Aanspreking" code="[Aannemer_Dakwerken.Aanspreking]" value=""/>
        <property name="Naam" code="[Aannemer_Dakwerken.Naam]" value=""/>
        <property name="Voornaam" code="[Aannemer_Dakwerken.Voornaam]" value=""/>
        <property name="Adres" code="[Aannemer_Dakwerken.Adres]" value=""/>
        <property name="Postcode" code="[Aannemer_Dakwerken.Postcode]" value=""/>
        <property name="Gemeente" code="[Aannemer_Dakwerken.Gemeente]" value=""/>
        <property name="Telefoon" code="[Aannemer_Dakwerken.Telefoon]" value=""/>
        <property name="Email" code="[Aannemer_Dakwerken.Email]" value="" func="@"/>
        <property name="GSM" code="[Aannemer_Dakwerken.GSM]" value=""/>
        <property name="Fax" code="[Aannemer_Dakwerken.Fax]" value=""/>
        <property name="Ondernemingsnummer" code="[Aannemer_Dakwerken.Ondernemingsnummer]" value=""/>
        <property name="MaatschappelijkeZetel" code="[Aannemer_Dakwerken.MaatschappelijkeZetel]" value=""/>
        <property name="Klasse" code="[Aannemer_Dakwerken.Klasse]" value=""/>
        <property name="Disciplines" code="[Aannemer_Dakwerken.Disciplines]" value=""/>
      </property>
      <property name="Aannemer_Schrijnwerk" code="[Aannemer_Schrijnwerk]" value="" link="Aannemers">
        <property name="ID" code="[Aannemer_Schrijnwerk.ID]" value=""/>
        <property name="Bedrijfsnaam" code="[Aannemer_Schrijnwerk.Bedrijfsnaam]" value=""/>
        <property name="Bedrijfsvorm" code="[Aannemer_Schrijnwerk.Bedrijfsvorm]" value=""/>
        <property name="Aanspreking" code="[Aannemer_Schrijnwerk.Aanspreking]" value=""/>
        <property name="Naam" code="[Aannemer_Schrijnwerk.Naam]" value=""/>
        <property name="Voornaam" code="[Aannemer_Schrijnwerk.Voornaam]" value=""/>
        <property name="Adres" code="[Aannemer_Schrijnwerk.Adres]" value=""/>
        <property name="Postcode" code="[Aannemer_Schrijnwerk.Postcode]" value=""/>
        <property name="Gemeente" code="[Aannemer_Schrijnwerk.Gemeente]" value=""/>
        <property name="Telefoon" code="[Aannemer_Schrijnwerk.Telefoon]" value=""/>
        <property name="Email" code="[Aannemer_Schrijnwerk.Email]" value="" func="@"/>
        <property name="GSM" code="[Aannemer_Schrijnwerk.GSM]" value=""/>
        <property name="Fax" code="[Aannemer_Schrijnwerk.Fax]" value=""/>
        <property name="Ondernemingsnummer" code="[Aannemer_Schrijnwerk.Ondernemingsnummer]" value=""/>
        <property name="MaatschappelijkeZetel" code="[Aannemer_Schrijnwerk.MaatschappelijkeZetel]" value=""/>
        <property name="Klasse" code="[Aannemer_Schrijnwerk.Klasse]" value=""/>
        <property name="Disciplines" code="[Aannemer_Schrijnwerk.Disciplines]" value=""/>
      </property>
      <property name="Aannemer_Elektra" code="[Aannemer_Elektra]" value="" link="Aannemers">
        <property name="ID" code="[Aannemer_Elektra.ID]" value=""/>
        <property name="Bedrijfsnaam" code="[Aannemer_Elektra.Bedrijfsnaam]" value=""/>
        <property name="Bedrijfsvorm" code="[Aannemer_Elektra.Bedrijfsvorm]" value=""/>
        <property name="Aanspreking" code="[Aannemer_Elektra.Aanspreking]" value=""/>
        <property name="Naam" code="[Aannemer_Elektra.Naam]" value=""/>
        <property name="Voornaam" code="[Aannemer_Elektra.Voornaam]" value=""/>
        <property name="Adres" code="[Aannemer_Elektra.Adres]" value=""/>
        <property name="Postcode" code="[Aannemer_Elektra.Postcode]" value=""/>
        <property name="Gemeente" code="[Aannemer_Elektra.Gemeente]" value=""/>
        <property name="Telefoon" code="[Aannemer_Elektra.Telefoon]" value=""/>
        <property name="Email" code="[Aannemer_Elektra.Email]" value="" func="@"/>
        <property name="GSM" code="[Aannemer_Elektra.GSM]" value=""/>
        <property name="Fax" code="[Aannemer_Elektra.Fax]" value=""/>
        <property name="Ondernemingsnummer" code="[Aannemer_Elektra.Ondernemingsnummer]" value=""/>
        <property name="MaatschappelijkeZetel" code="[Aannemer_Elektra.MaatschappelijkeZetel]" value=""/>
        <property name="Klasse" code="[Aannemer_Elektra.Klasse]" value=""/>
        <property name="Disciplines" code="[Aannemer_Elektra.Disciplines]" value=""/>
      </property>
      <property name="Aannemer_Pleisterwerk" code="[Aannemer_Pleisterwerk]" value="" link="Aannemers">
        <property name="ID" code="[Aannemer_Pleisterwerk.ID]" value=""/>
        <property name="Bedrijfsnaam" code="[Aannemer_Pleisterwerk.Bedrijfsnaam]" value=""/>
        <property name="Bedrijfsvorm" code="[Aannemer_Pleisterwerk.Bedrijfsvorm]" value=""/>
        <property name="Aanspreking" code="[Aannemer_Pleisterwerk.Aanspreking]" value=""/>
        <property name="Naam" code="[Aannemer_Pleisterwerk.Naam]" value=""/>
        <property name="Voornaam" code="[Aannemer_Pleisterwerk.Voornaam]" value=""/>
        <property name="Adres" code="[Aannemer_Pleisterwerk.Adres]" value=""/>
        <property name="Postcode" code="[Aannemer_Pleisterwerk.Postcode]" value=""/>
        <property name="Gemeente" code="[Aannemer_Pleisterwerk.Gemeente]" value=""/>
        <property name="Telefoon" code="[Aannemer_Pleisterwerk.Telefoon]" value=""/>
        <property name="Email" code="[Aannemer_Pleisterwerk.Email]" value="" func="@"/>
        <property name="GSM" code="[Aannemer_Pleisterwerk.GSM]" value=""/>
        <property name="Fax" code="[Aannemer_Pleisterwerk.Fax]" value=""/>
        <property name="Ondernemingsnummer" code="[Aannemer_Pleisterwerk.Ondernemingsnummer]" value=""/>
        <property name="MaatschappelijkeZetel" code="[Aannemer_Pleisterwerk.MaatschappelijkeZetel]" value=""/>
        <property name="Klasse" code="[Aannemer_Pleisterwerk.Klasse]" value=""/>
        <property name="Disciplines" code="[Aannemer_Pleisterwerk.Disciplines]" value=""/>
      </property>
      <property name="Aannemer_Sanitair" code="[Aannemer_Sanitair]" value="" link="Aannemers">
        <property name="ID" code="[Aannemer_Sanitair.ID]" value=""/>
        <property name="Bedrijfsnaam" code="[Aannemer_Sanitair.Bedrijfsnaam]" value=""/>
        <property name="Bedrijfsvorm" code="[Aannemer_Sanitair.Bedrijfsvorm]" value=""/>
        <property name="Aanspreking" code="[Aannemer_Sanitair.Aanspreking]" value=""/>
        <property name="Naam" code="[Aannemer_Sanitair.Naam]" value=""/>
        <property name="Voornaam" code="[Aannemer_Sanitair.Voornaam]" value=""/>
        <property name="Adres" code="[Aannemer_Sanitair.Adres]" value=""/>
        <property name="Postcode" code="[Aannemer_Sanitair.Postcode]" value=""/>
        <property name="Gemeente" code="[Aannemer_Sanitair.Gemeente]" value=""/>
        <property name="Telefoon" code="[Aannemer_Sanitair.Telefoon]" value=""/>
        <property name="Email" code="[Aannemer_Sanitair.Email]" value="" func="@"/>
        <property name="GSM" code="[Aannemer_Sanitair.GSM]" value=""/>
        <property name="Fax" code="[Aannemer_Sanitair.Fax]" value=""/>
        <property name="Ondernemingsnummer" code="[Aannemer_Sanitair.Ondernemingsnummer]" value=""/>
        <property name="MaatschappelijkeZetel" code="[Aannemer_Sanitair.MaatschappelijkeZetel]" value=""/>
        <property name="Klasse" code="[Aannemer_Sanitair.Klasse]" value=""/>
        <property name="Disciplines" code="[Aannemer_Sanitair.Disciplines]" value=""/>
      </property>
      <property name="Aannemer_Vloeren" code="[Aannemer_Vloeren]" value="" link="Aannemers">
        <property name="ID" code="[Aannemer_Vloeren.ID]" value=""/>
        <property name="Bedrijfsnaam" code="[Aannemer_Vloeren.Bedrijfsnaam]" value=""/>
        <property name="Bedrijfsvorm" code="[Aannemer_Vloeren.Bedrijfsvorm]" value=""/>
        <property name="Aanspreking" code="[Aannemer_Vloeren.Aanspreking]" value=""/>
        <property name="Naam" code="[Aannemer_Vloeren.Naam]" value=""/>
        <property name="Voornaam" code="[Aannemer_Vloeren.Voornaam]" value=""/>
        <property name="Adres" code="[Aannemer_Vloeren.Adres]" value=""/>
        <property name="Postcode" code="[Aannemer_Vloeren.Postcode]" value=""/>
        <property name="Gemeente" code="[Aannemer_Vloeren.Gemeente]" value=""/>
        <property name="Telefoon" code="[Aannemer_Vloeren.Telefoon]" value=""/>
        <property name="Email" code="[Aannemer_Vloeren.Email]" value="" func="@"/>
        <property name="GSM" code="[Aannemer_Vloeren.GSM]" value=""/>
        <property name="Fax" code="[Aannemer_Vloeren.Fax]" value=""/>
        <property name="Ondernemingsnummer" code="[Aannemer_Vloeren.Ondernemingsnummer]" value=""/>
        <property name="MaatschappelijkeZetel" code="[Aannemer_Vloeren.MaatschappelijkeZetel]" value=""/>
        <property name="Klasse" code="[Aannemer_Vloeren.Klasse]" value=""/>
        <property name="Disciplines" code="[Aannemer_Vloeren.Disciplines]" value=""/>
      </property>
      <property name="Aannemer_Verwarming" code="[Aannemer_Verwarming]" value="" link="Aannemers">
        <property name="ID" code="[Aannemer_Verwarming.ID]" value=""/>
        <property name="Bedrijfsnaam" code="[Aannemer_Verwarming.Bedrijfsnaam]" value=""/>
        <property name="Bedrijfsvorm" code="[Aannemer_Verwarming.Bedrijfsvorm]" value=""/>
        <property name="Aanspreking" code="[Aannemer_Verwarming.Aanspreking]" value=""/>
        <property name="Naam" code="[Aannemer_Verwarming.Naam]" value=""/>
        <property name="Voornaam" code="[Aannemer_Verwarming.Voornaam]" value=""/>
        <property name="Adres" code="[Aannemer_Verwarming.Adres]" value=""/>
        <property name="Postcode" code="[Aannemer_Verwarming.Postcode]" value=""/>
        <property name="Gemeente" code="[Aannemer_Verwarming.Gemeente]" value=""/>
        <property name="Telefoon" code="[Aannemer_Verwarming.Telefoon]" value=""/>
        <property name="Email" code="[Aannemer_Verwarming.Email]" value="" func="@"/>
        <property name="GSM" code="[Aannemer_Verwarming.GSM]" value=""/>
        <property name="Fax" code="[Aannemer_Verwarming.Fax]" value=""/>
        <property name="Ondernemingsnummer" code="[Aannemer_Verwarming.Ondernemingsnummer]" value=""/>
        <property name="MaatschappelijkeZetel" code="[Aannemer_Verwarming.MaatschappelijkeZetel]" value=""/>
        <property name="Klasse" code="[Aannemer_Verwarming.Klasse]" value=""/>
        <property name="Disciplines" code="[Aannemer_Verwarming.Disciplines]" value=""/>
      </property>
      <property name="Aannemer_Schilderwerken" code="[Aannemer_Schilderwerken]" value="" link="Aannemers">
        <property name="ID" code="[Aannemer_Schilderwerken.ID]" value=""/>
        <property name="Bedrijfsnaam" code="[Aannemer_Schilderwerken.Bedrijfsnaam]" value=""/>
        <property name="Bedrijfsvorm" code="[Aannemer_Schilderwerken.Bedrijfsvorm]" value=""/>
        <property name="Aanspreking" code="[Aannemer_Schilderwerken.Aanspreking]" value=""/>
        <property name="Naam" code="[Aannemer_Schilderwerken.Naam]" value=""/>
        <property name="Voornaam" code="[Aannemer_Schilderwerken.Voornaam]" value=""/>
        <property name="Adres" code="[Aannemer_Schilderwerken.Adres]" value=""/>
        <property name="Postcode" code="[Aannemer_Schilderwerken.Postcode]" value=""/>
        <property name="Gemeente" code="[Aannemer_Schilderwerken.Gemeente]" value=""/>
        <property name="Telefoon" code="[Aannemer_Schilderwerken.Telefoon]" value=""/>
        <property name="Email" code="[Aannemer_Schilderwerken.Email]" value="" func="@"/>
        <property name="GSM" code="[Aannemer_Schilderwerken.GSM]" value=""/>
        <property name="Fax" code="[Aannemer_Schilderwerken.Fax]" value=""/>
        <property name="Ondernemingsnummer" code="[Aannemer_Schilderwerken.Ondernemingsnummer]" value=""/>
        <property name="MaatschappelijkeZetel" code="[Aannemer_Schilderwerken.MaatschappelijkeZetel]" value=""/>
        <property name="Klasse" code="[Aannemer_Schilderwerken.Klasse]" value=""/>
        <property name="Disciplines" code="[Aannemer_Schilderwerken.Disciplines]" value=""/>
      </property>
      <property name="Aannemer_Tuinaanleg" code="[Aannemer_Tuinaanleg]" value="" link="Aannemers">
        <property name="ID" code="[Aannemer_Tuinaanleg.ID]" value=""/>
        <property name="Bedrijfsnaam" code="[Aannemer_Tuinaanleg.Bedrijfsnaam]" value=""/>
        <property name="Bedrijfsvorm" code="[Aannemer_Tuinaanleg.Bedrijfsvorm]" value=""/>
        <property name="Aanspreking" code="[Aannemer_Tuinaanleg.Aanspreking]" value=""/>
        <property name="Naam" code="[Aannemer_Tuinaanleg.Naam]" value=""/>
        <property name="Voornaam" code="[Aannemer_Tuinaanleg.Voornaam]" value=""/>
        <property name="Adres" code="[Aannemer_Tuinaanleg.Adres]" value=""/>
        <property name="Postcode" code="[Aannemer_Tuinaanleg.Postcode]" value=""/>
        <property name="Gemeente" code="[Aannemer_Tuinaanleg.Gemeente]" value=""/>
        <property name="Telefoon" code="[Aannemer_Tuinaanleg.Telefoon]" value=""/>
        <property name="Email" code="[Aannemer_Tuinaanleg.Email]" value="" func="@"/>
        <property name="GSM" code="[Aannemer_Tuinaanleg.GSM]" value=""/>
        <property name="Fax" code="[Aannemer_Tuinaanleg.Fax]" value=""/>
        <property name="Ondernemingsnummer" code="[Aannemer_Tuinaanleg.Ondernemingsnummer]" value=""/>
        <property name="MaatschappelijkeZetel" code="[Aannemer_Tuinaanleg.MaatschappelijkeZetel]" value=""/>
        <property name="Klasse" code="[Aannemer_Tuinaanleg.Klasse]" value=""/>
        <property name="Disciplines" code="[Aannemer_Tuinaanleg.Disciplines]" value=""/>
      </property>
    </group>
    <group name="Ingenieurs">
      <property name="Ingenieur_Stabiliteit" code="[Ingenieur_Stabiliteit]" value="" link="Ingenieurs">
        <property name="ID" code="[Ingenieur_Stabiliteit.ID]" value=""/>
        <property name="Bedrijfsnaam" code="[Ingenieur_Stabiliteit.Bedrijfsnaam]" value=""/>
        <property name="Bedrijfsvorm" code="[Ingenieur_Stabiliteit.Bedrijfsvorm]" value=""/>
        <property name="Aanspreking" code="[Ingenieur_Stabiliteit.Aanspreking]" value=""/>
        <property name="Naam" code="[Ingenieur_Stabiliteit.Naam]" value=""/>
        <property name="Voornaam" code="[Ingenieur_Stabiliteit.Voornaam]" value=""/>
        <property name="Adres" code="[Ingenieur_Stabiliteit.Adres]" value=""/>
        <property name="Postcode" code="[Ingenieur_Stabiliteit.Postcode]" value=""/>
        <property name="Gemeente" code="[Ingenieur_Stabiliteit.Gemeente]" value=""/>
        <property name="Telefoon" code="[Ingenieur_Stabiliteit.Telefoon]" value=""/>
        <property name="Email" code="[Ingenieur_Stabiliteit.Email]" value="" func="@"/>
        <property name="GSM" code="[Ingenieur_Stabiliteit.GSM]" value=""/>
        <property name="Fax" code="[Ingenieur_Stabiliteit.Fax]" value=""/>
        <property name="Ondernemingsnummer" code="[Ingenieur_Stabiliteit.Ondernemingsnummer]" value=""/>
        <property name="MaatschappelijkeZetel" code="[Ingenieur_Stabiliteit.MaatschappelijkeZetel]" value=""/>
        <property name="Klasse" code="[Ingenieur_Stabiliteit.Klasse]" value=""/>
        <property name="Disciplines" code="[Ingenieur_Stabiliteit.Disciplines]" value=""/>
      </property>
      <property name="Ingenieur_Technieken" code="[Ingenieur_Technieken]" value="" link="Ingenieurs">
        <property name="ID" code="[Ingenieur_Technieken.ID]" value=""/>
        <property name="Bedrijfsnaam" code="[Ingenieur_Technieken.Bedrijfsnaam]" value=""/>
        <property name="Bedrijfsvorm" code="[Ingenieur_Technieken.Bedrijfsvorm]" value=""/>
        <property name="Aanspreking" code="[Ingenieur_Technieken.Aanspreking]" value=""/>
        <property name="Naam" code="[Ingenieur_Technieken.Naam]" value=""/>
        <property name="Voornaam" code="[Ingenieur_Technieken.Voornaam]" value=""/>
        <property name="Adres" code="[Ingenieur_Technieken.Adres]" value=""/>
        <property name="Postcode" code="[Ingenieur_Technieken.Postcode]" value=""/>
        <property name="Gemeente" code="[Ingenieur_Technieken.Gemeente]" value=""/>
        <property name="Telefoon" code="[Ingenieur_Technieken.Telefoon]" value=""/>
        <property name="Email" code="[Ingenieur_Technieken.Email]" value="" func="@"/>
        <property name="GSM" code="[Ingenieur_Technieken.GSM]" value=""/>
        <property name="Fax" code="[Ingenieur_Technieken.Fax]" value=""/>
        <property name="Ondernemingsnummer" code="[Ingenieur_Technieken.Ondernemingsnummer]" value=""/>
        <property name="MaatschappelijkeZetel" code="[Ingenieur_Technieken.MaatschappelijkeZetel]" value=""/>
        <property name="Klasse" code="[Ingenieur_Technieken.Klasse]" value=""/>
        <property name="Disciplines" code="[Ingenieur_Technieken.Disciplines]" value=""/>
      </property>
      <property name="Ingenieur_Akoestiek" code="[Ingenieur_Akoestiek]" value="" link="Ingenieurs">
        <property name="ID" code="[Ingenieur_Akoestiek.ID]" value=""/>
        <property name="Bedrijfsnaam" code="[Ingenieur_Akoestiek.Bedrijfsnaam]" value=""/>
        <property name="Bedrijfsvorm" code="[Ingenieur_Akoestiek.Bedrijfsvorm]" value=""/>
        <property name="Aanspreking" code="[Ingenieur_Akoestiek.Aanspreking]" value=""/>
        <property name="Naam" code="[Ingenieur_Akoestiek.Naam]" value=""/>
        <property name="Voornaam" code="[Ingenieur_Akoestiek.Voornaam]" value=""/>
        <property name="Adres" code="[Ingenieur_Akoestiek.Adres]" value=""/>
        <property name="Postcode" code="[Ingenieur_Akoestiek.Postcode]" value=""/>
        <property name="Gemeente" code="[Ingenieur_Akoestiek.Gemeente]" value=""/>
        <property name="Telefoon" code="[Ingenieur_Akoestiek.Telefoon]" value=""/>
        <property name="Email" code="[Ingenieur_Akoestiek.Email]" value="" func="@"/>
        <property name="GSM" code="[Ingenieur_Akoestiek.GSM]" value=""/>
        <property name="Fax" code="[Ingenieur_Akoestiek.Fax]" value=""/>
        <property name="Ondernemingsnummer" code="[Ingenieur_Akoestiek.Ondernemingsnummer]" value=""/>
        <property name="MaatschappelijkeZetel" code="[Ingenieur_Akoestiek.MaatschappelijkeZetel]" value=""/>
        <property name="Klasse" code="[Ingenieur_Akoestiek.Klasse]" value=""/>
        <property name="Disciplines" code="[Ingenieur_Akoestiek.Disciplines]" value=""/>
      </property>
    </group>
    <property name="Veiligheidscoördinatie" code="[Veiligheidscoördinatie]" value="" link="Veiligheidscoördinatie">
      <property name="ID" code="[Veiligheidscoördinatie.ID]" value=""/>
      <property name="Bedrijfsnaam" code="[Veiligheidscoördinatie.Bedrijfsnaam]" value=""/>
      <property name="Bedrijfsvorm" code="[Veiligheidscoördinatie.Bedrijfsvorm]" value=""/>
      <property name="Aanspreking" code="[Veiligheidscoördinatie.Aanspreking]" value=""/>
      <property name="Naam" code="[Veiligheidscoördinatie.Naam]" value=""/>
      <property name="Voornaam" code="[Veiligheidscoördinatie.Voornaam]" value=""/>
      <property name="Adres" code="[Veiligheidscoördinatie.Adres]" value=""/>
      <property name="Postcode" code="[Veiligheidscoördinatie.Postcode]" value=""/>
      <property name="Gemeente" code="[Veiligheidscoördinatie.Gemeente]" value=""/>
      <property name="Telefoon" code="[Veiligheidscoördinatie.Telefoon]" value=""/>
      <property name="Email" code="[Veiligheidscoördinatie.Email]" value="" func="@"/>
      <property name="GSM" code="[Veiligheidscoördinatie.GSM]" value=""/>
      <property name="Fax" code="[Veiligheidscoördinatie.Fax]" value=""/>
      <property name="Ondernemingsnummer" code="[Veiligheidscoördinatie.Ondernemingsnummer]" value=""/>
      <property name="MaatschappelijkeZetel" code="[Veiligheidscoördinatie.MaatschappelijkeZetel]" value=""/>
    </property>
    <property name="EPB" code="[EPB]" value="" link="EPB">
      <property name="ID" code="[EPB.ID]" value=""/>
      <property name="Bedrijfsnaam" code="[EPB.Bedrijfsnaam]" value=""/>
      <property name="Bedrijfsvorm" code="[EPB.Bedrijfsvorm]" value=""/>
      <property name="Aanspreking" code="[EPB.Aanspreking]" value=""/>
      <property name="Naam" code="[EPB.Naam]" value=""/>
      <property name="Voornaam" code="[EPB.Voornaam]" value=""/>
      <property name="Adres" code="[EPB.Adres]" value=""/>
      <property name="Postcode" code="[EPB.Postcode]" value=""/>
      <property name="Gemeente" code="[EPB.Gemeente]" value=""/>
      <property name="Telefoon" code="[EPB.Telefoon]" value=""/>
      <property name="Email" code="[EPB.Email]" value="" func="@"/>
      <property name="GSM" code="[EPB.GSM]" value=""/>
      <property name="Fax" code="[EPB.Fax]" value=""/>
      <property name="Ondernemingsnummer" code="[EPB.Ondernemingsnummer]" value=""/>
      <property name="MaatschappelijkeZetel" code="[EPB.MaatschappelijkeZetel]" value=""/>
    </property>
  </properties>
</datamerge>
</file>

<file path=customXml/itemProps1.xml><?xml version="1.0" encoding="utf-8"?>
<ds:datastoreItem xmlns:ds="http://schemas.openxmlformats.org/officeDocument/2006/customXml" ds:itemID="{73B1C498-A918-4AA7-9704-7D0E60D068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143</vt:i4>
      </vt:variant>
    </vt:vector>
  </HeadingPairs>
  <TitlesOfParts>
    <vt:vector size="145" baseType="lpstr">
      <vt:lpstr>Detail</vt:lpstr>
      <vt:lpstr>Samenvatting</vt:lpstr>
      <vt:lpstr>Samenvatting!Afdrukbereik</vt:lpstr>
      <vt:lpstr>Samenvatting!Afdruktitels</vt:lpstr>
      <vt:lpstr>Art_00.</vt:lpstr>
      <vt:lpstr>Art_00.10.</vt:lpstr>
      <vt:lpstr>Art_00.20.</vt:lpstr>
      <vt:lpstr>Art_00.21.</vt:lpstr>
      <vt:lpstr>Art_00.23.</vt:lpstr>
      <vt:lpstr>Art_00.24.</vt:lpstr>
      <vt:lpstr>Art_01.</vt:lpstr>
      <vt:lpstr>Art_01.00.</vt:lpstr>
      <vt:lpstr>Art_01.01.</vt:lpstr>
      <vt:lpstr>Art_01.02.</vt:lpstr>
      <vt:lpstr>Art_01.03.</vt:lpstr>
      <vt:lpstr>Art_01.04.</vt:lpstr>
      <vt:lpstr>Art_01.05.</vt:lpstr>
      <vt:lpstr>Art_01.06.</vt:lpstr>
      <vt:lpstr>Art_01.08.</vt:lpstr>
      <vt:lpstr>Art_01.20.</vt:lpstr>
      <vt:lpstr>Art_01.21.</vt:lpstr>
      <vt:lpstr>Art_01.22.</vt:lpstr>
      <vt:lpstr>Art_01.23.</vt:lpstr>
      <vt:lpstr>Art_01.25.</vt:lpstr>
      <vt:lpstr>Art_01.30.</vt:lpstr>
      <vt:lpstr>Art_01.31.</vt:lpstr>
      <vt:lpstr>Art_01.32.</vt:lpstr>
      <vt:lpstr>Art_01.33.</vt:lpstr>
      <vt:lpstr>Art_01.40.</vt:lpstr>
      <vt:lpstr>Art_02.</vt:lpstr>
      <vt:lpstr>Art_02.00.</vt:lpstr>
      <vt:lpstr>Art_02.10.</vt:lpstr>
      <vt:lpstr>Art_02.11.</vt:lpstr>
      <vt:lpstr>Art_02.80.</vt:lpstr>
      <vt:lpstr>Art_02.81.</vt:lpstr>
      <vt:lpstr>Art_02.81.10.</vt:lpstr>
      <vt:lpstr>Art_02.82.</vt:lpstr>
      <vt:lpstr>Art_03.</vt:lpstr>
      <vt:lpstr>Art_03.00.</vt:lpstr>
      <vt:lpstr>Art_03.30.</vt:lpstr>
      <vt:lpstr>Art_03.31.</vt:lpstr>
      <vt:lpstr>Art_03.31.20.</vt:lpstr>
      <vt:lpstr>Art_04.</vt:lpstr>
      <vt:lpstr>Art_04.00.</vt:lpstr>
      <vt:lpstr>Art_04.20.</vt:lpstr>
      <vt:lpstr>Art_04.30.</vt:lpstr>
      <vt:lpstr>Art_04.40.</vt:lpstr>
      <vt:lpstr>Art_30.</vt:lpstr>
      <vt:lpstr>Art_30.00.</vt:lpstr>
      <vt:lpstr>Art_30.01.</vt:lpstr>
      <vt:lpstr>Art_30.10.</vt:lpstr>
      <vt:lpstr>Art_30.12.</vt:lpstr>
      <vt:lpstr>Art_30.12.10.</vt:lpstr>
      <vt:lpstr>Art_30.13.</vt:lpstr>
      <vt:lpstr>Art_30.14.</vt:lpstr>
      <vt:lpstr>Art_30.20.</vt:lpstr>
      <vt:lpstr>Art_30.21.</vt:lpstr>
      <vt:lpstr>Art_30.30.</vt:lpstr>
      <vt:lpstr>Art_31.</vt:lpstr>
      <vt:lpstr>Art_31.00.</vt:lpstr>
      <vt:lpstr>Art_31.10.</vt:lpstr>
      <vt:lpstr>Art_31.11.</vt:lpstr>
      <vt:lpstr>Art_31.11.10.</vt:lpstr>
      <vt:lpstr>Art_31.11.20.</vt:lpstr>
      <vt:lpstr>Art_31.40.</vt:lpstr>
      <vt:lpstr>Art_31.42.</vt:lpstr>
      <vt:lpstr>Art_32.</vt:lpstr>
      <vt:lpstr>Art_32.00.</vt:lpstr>
      <vt:lpstr>Art_32.01.</vt:lpstr>
      <vt:lpstr>Art_32.10.</vt:lpstr>
      <vt:lpstr>Art_32.11.</vt:lpstr>
      <vt:lpstr>Art_32.11.10.</vt:lpstr>
      <vt:lpstr>Art_32.11.20.</vt:lpstr>
      <vt:lpstr>Art_32.11.30.</vt:lpstr>
      <vt:lpstr>Art_37.</vt:lpstr>
      <vt:lpstr>Art_37.00.</vt:lpstr>
      <vt:lpstr>Art_37.10.</vt:lpstr>
      <vt:lpstr>Art_37.11.</vt:lpstr>
      <vt:lpstr>Art_37.11.10.</vt:lpstr>
      <vt:lpstr>Art_38.</vt:lpstr>
      <vt:lpstr>Art_38.00.</vt:lpstr>
      <vt:lpstr>Art_38.20.</vt:lpstr>
      <vt:lpstr>Art_38.22.</vt:lpstr>
      <vt:lpstr>Art_38.22.10.</vt:lpstr>
      <vt:lpstr>Art_38.30.</vt:lpstr>
      <vt:lpstr>Art_38.32.</vt:lpstr>
      <vt:lpstr>Art_38.32.10.</vt:lpstr>
      <vt:lpstr>Art_38.40.</vt:lpstr>
      <vt:lpstr>Art_38.42.</vt:lpstr>
      <vt:lpstr>Art_38.50.</vt:lpstr>
      <vt:lpstr>Art_38.52.</vt:lpstr>
      <vt:lpstr>Art_42.</vt:lpstr>
      <vt:lpstr>Art_42.00.</vt:lpstr>
      <vt:lpstr>Art_42.10.</vt:lpstr>
      <vt:lpstr>Art_42.11.</vt:lpstr>
      <vt:lpstr>Art_42.30.</vt:lpstr>
      <vt:lpstr>Art_42.31.</vt:lpstr>
      <vt:lpstr>Art_42.40.</vt:lpstr>
      <vt:lpstr>Art_42.41.</vt:lpstr>
      <vt:lpstr>Art_51.</vt:lpstr>
      <vt:lpstr>Art_51.00.</vt:lpstr>
      <vt:lpstr>Art_51.10.</vt:lpstr>
      <vt:lpstr>Art_51.11.</vt:lpstr>
      <vt:lpstr>Art_51.11.10</vt:lpstr>
      <vt:lpstr>Art_51.11.20</vt:lpstr>
      <vt:lpstr>Art_51.11.30</vt:lpstr>
      <vt:lpstr>Art_51.21.</vt:lpstr>
      <vt:lpstr>Art_51.21.10.</vt:lpstr>
      <vt:lpstr>Art_51.50.</vt:lpstr>
      <vt:lpstr>Art_51.51.</vt:lpstr>
      <vt:lpstr>Art_51.51.10.</vt:lpstr>
      <vt:lpstr>Art_51.60.</vt:lpstr>
      <vt:lpstr>Art_51.70.</vt:lpstr>
      <vt:lpstr>Art_51.71.</vt:lpstr>
      <vt:lpstr>Art_51.71.10.</vt:lpstr>
      <vt:lpstr>Art_54.</vt:lpstr>
      <vt:lpstr>Art_54.00.</vt:lpstr>
      <vt:lpstr>Art_54.01.</vt:lpstr>
      <vt:lpstr>Art_54.02.</vt:lpstr>
      <vt:lpstr>Art_54.03.</vt:lpstr>
      <vt:lpstr>Art_54.10.</vt:lpstr>
      <vt:lpstr>Art_54.11.</vt:lpstr>
      <vt:lpstr>Art_54.11.10.</vt:lpstr>
      <vt:lpstr>Art_54.20.</vt:lpstr>
      <vt:lpstr>Art_54.21.</vt:lpstr>
      <vt:lpstr>Art_54.21.20.</vt:lpstr>
      <vt:lpstr>Art_54.21.30.</vt:lpstr>
      <vt:lpstr>Art_54.21.40.</vt:lpstr>
      <vt:lpstr>Art_54.30.</vt:lpstr>
      <vt:lpstr>Art_54.31.</vt:lpstr>
      <vt:lpstr>Art_54.31.10.</vt:lpstr>
      <vt:lpstr>Art_54.60.</vt:lpstr>
      <vt:lpstr>Art_54.61.</vt:lpstr>
      <vt:lpstr>Art_54.61.10.</vt:lpstr>
      <vt:lpstr>Art_54.62.</vt:lpstr>
      <vt:lpstr>Art_54.62.20.</vt:lpstr>
      <vt:lpstr>Art_54.62.40.</vt:lpstr>
      <vt:lpstr>Art_54.62.50.</vt:lpstr>
      <vt:lpstr>Art_54.63.</vt:lpstr>
      <vt:lpstr>Art_54.63.10.</vt:lpstr>
      <vt:lpstr>Art_54.65.</vt:lpstr>
      <vt:lpstr>Art_54.80.</vt:lpstr>
      <vt:lpstr>Art_54.86.</vt:lpstr>
      <vt:lpstr>Samenvatting!first_cell</vt:lpstr>
      <vt:lpstr>Samenvatting!TotalLine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C3Admin Tools</dc:title>
  <dc:subject>Bill of Quantities Detail Template</dc:subject>
  <dc:creator>Els Staessens</dc:creator>
  <cp:lastModifiedBy>Nicole Drieghe</cp:lastModifiedBy>
  <cp:revision>1</cp:revision>
  <dcterms:created xsi:type="dcterms:W3CDTF">1995-09-27T18:13:23Z</dcterms:created>
  <dcterms:modified xsi:type="dcterms:W3CDTF">2023-04-13T12:04:09Z</dcterms:modified>
</cp:coreProperties>
</file>