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\\srvfile2101\3P\Server\Documents\Contracts\2023\304\"/>
    </mc:Choice>
  </mc:AlternateContent>
  <xr:revisionPtr revIDLastSave="0" documentId="13_ncr:1_{ECFC6ACE-70D2-4B5F-8A00-33CE5E3352C3}" xr6:coauthVersionLast="47" xr6:coauthVersionMax="47" xr10:uidLastSave="{00000000-0000-0000-0000-000000000000}"/>
  <bookViews>
    <workbookView xWindow="29610" yWindow="-15" windowWidth="28110" windowHeight="16440" activeTab="1" xr2:uid="{00000000-000D-0000-FFFF-FFFF00000000}"/>
  </bookViews>
  <sheets>
    <sheet name="Detail Elek" sheetId="2" r:id="rId1"/>
    <sheet name="Samenvatting Elek" sheetId="18" r:id="rId2"/>
  </sheets>
  <externalReferences>
    <externalReference r:id="rId3"/>
  </externalReferences>
  <definedNames>
    <definedName name="_xlnm.Print_Area" localSheetId="1">'Samenvatting Elek'!$A:$J</definedName>
    <definedName name="_xlnm.Print_Titles" localSheetId="1">'Samenvatting Elek'!$1:$1</definedName>
    <definedName name="Art_00.">'Detail Elek'!$A$10:$I$10</definedName>
    <definedName name="Art_00.10.">'Detail Elek'!$A$13:$I$13</definedName>
    <definedName name="Art_00.20.">'Detail Elek'!$A$16:$I$16</definedName>
    <definedName name="Art_00.21.">'Detail Elek'!$A$19:$I$19</definedName>
    <definedName name="Art_00.24.">'Detail Elek'!$A$22:$I$22</definedName>
    <definedName name="Art_00.25.">'Detail Elek'!$A$25:$I$25</definedName>
    <definedName name="Art_00.30.">'Detail Elek'!$A$28:$I$28</definedName>
    <definedName name="Art_00.31.">'Detail Elek'!$A$31:$I$31</definedName>
    <definedName name="Art_00.32.">'Detail Elek'!$A$34:$I$34</definedName>
    <definedName name="Art_00.33.">'Detail Elek'!$A$37:$I$37</definedName>
    <definedName name="Art_00.34.">'Detail Elek'!$A$40:$I$40</definedName>
    <definedName name="Art_00.35.">'Detail Elek'!$A$43:$I$43</definedName>
    <definedName name="Art_01.">'Detail Elek'!$A$46:$I$46</definedName>
    <definedName name="Art_01.00.">'Detail Elek'!$A$49:$I$49</definedName>
    <definedName name="Art_01.01.">'Detail Elek'!$A$52:$I$53</definedName>
    <definedName name="Art_01.02.">'Detail Elek'!$A$56:$I$57</definedName>
    <definedName name="Art_01.03.">'Detail Elek'!$A$60:$I$61</definedName>
    <definedName name="Art_01.04.">'Detail Elek'!$A$64:$I$65</definedName>
    <definedName name="Art_01.05.">'Detail Elek'!$A$68:$I$69</definedName>
    <definedName name="Art_01.06.">'Detail Elek'!$A$72:$I$73</definedName>
    <definedName name="Art_01.07.">'Detail Elek'!$A$76:$I$77</definedName>
    <definedName name="Art_01.08.">'Detail Elek'!$A$80:$I$81</definedName>
    <definedName name="Art_01.20.">'Detail Elek'!$A$84:$I$84</definedName>
    <definedName name="Art_01.21.">'Detail Elek'!$A$87:$I$88</definedName>
    <definedName name="Art_01.23.">'Detail Elek'!$A$91:$I$92</definedName>
    <definedName name="Art_01.25.">'Detail Elek'!$A$95:$I$96</definedName>
    <definedName name="Art_01.30.">'Detail Elek'!$A$99:$I$99</definedName>
    <definedName name="Art_01.31.">'Detail Elek'!$A$102:$I$103</definedName>
    <definedName name="Art_01.32.">'Detail Elek'!$A$106:$I$107</definedName>
    <definedName name="Art_01.33.">'Detail Elek'!$A$110:$I$111</definedName>
    <definedName name="Art_01.40.">'Detail Elek'!$A$114:$I$115</definedName>
    <definedName name="Art_02.">'Detail Elek'!$A$118:$I$118</definedName>
    <definedName name="Art_02.00.">'Detail Elek'!$A$121:$I$121</definedName>
    <definedName name="Art_02.80.">'Detail Elek'!$A$124:$I$124</definedName>
    <definedName name="Art_02.81.">'Detail Elek'!$A$127:$I$127</definedName>
    <definedName name="Art_02.81.10.">'Detail Elek'!$A$130:$I$131</definedName>
    <definedName name="Art_04.">'Detail Elek'!$A$134:$I$134</definedName>
    <definedName name="Art_04.00.">'Detail Elek'!$A$137:$I$137</definedName>
    <definedName name="Art_04.10.">'Detail Elek'!$A$140:$I$141</definedName>
    <definedName name="Art_04.40.">'Detail Elek'!$A$144:$I$145</definedName>
    <definedName name="Art_61.12.04.">#REF!</definedName>
    <definedName name="Art_61.21.13.">#REF!</definedName>
    <definedName name="Art_61.72.11.">#REF!</definedName>
    <definedName name="Art_67.11.">#REF!</definedName>
    <definedName name="Art_67.12.">#REF!</definedName>
    <definedName name="Art_70.">'Detail Elek'!$A$148:$I$148</definedName>
    <definedName name="Art_70.00.">'Detail Elek'!$A$151:$I$151</definedName>
    <definedName name="Art_70.10.">'Detail Elek'!$A$154:$I$154</definedName>
    <definedName name="Art_70.11.">'Detail Elek'!$A$157:$I$164</definedName>
    <definedName name="Art_70.12.">'Detail Elek'!$A$167:$I$168</definedName>
    <definedName name="Art_70.14.">'Detail Elek'!$A$171:$I$178</definedName>
    <definedName name="Art_70.15.">'Detail Elek'!$A$181:$I$186</definedName>
    <definedName name="Art_70.20.">'Detail Elek'!$A$189:$I$189</definedName>
    <definedName name="Art_70.21.">'Detail Elek'!$A$192:$I$198</definedName>
    <definedName name="Art_70.30.">'Detail Elek'!$A$201:$I$201</definedName>
    <definedName name="Art_70.31.">'Detail Elek'!$A$204:$I$205</definedName>
    <definedName name="Art_70.32.">'Detail Elek'!$A$208:$I$209</definedName>
    <definedName name="Art_70.33.">'Detail Elek'!$A$212:$I$213</definedName>
    <definedName name="Art_70.40.">'Detail Elek'!$A$216:$I$216</definedName>
    <definedName name="Art_70.41.">'Detail Elek'!$A$219:$I$220</definedName>
    <definedName name="Art_70.43.">'Detail Elek'!$A$223:$I$224</definedName>
    <definedName name="Art_70.44.">'Detail Elek'!$A$227:$I$228</definedName>
    <definedName name="Art_70.45.">'Detail Elek'!$A$231:$I$232</definedName>
    <definedName name="Art_70.46.">'Detail Elek'!$A$235:$I$236</definedName>
    <definedName name="Art_70.50.">'Detail Elek'!$A$239:$I$239</definedName>
    <definedName name="Art_70.51.">'Detail Elek'!$A$242:$I$249</definedName>
    <definedName name="Art_70.53.">'Detail Elek'!$A$252:$I$253</definedName>
    <definedName name="Art_70.54.">'Detail Elek'!$A$256:$I$257</definedName>
    <definedName name="Art_70.56.">'Detail Elek'!$A$260:$I$261</definedName>
    <definedName name="Art_70.57.">'Detail Elek'!$A$264:$I$264</definedName>
    <definedName name="Art_70.60.">'Detail Elek'!$A$267:$I$267</definedName>
    <definedName name="Art_70.61.">'Detail Elek'!$A$270:$I$271</definedName>
    <definedName name="Art_70.62.">'Detail Elek'!$A$274:$I$275</definedName>
    <definedName name="Art_70.65.">'Detail Elek'!$A$278:$I$279</definedName>
    <definedName name="Art_71.">'Detail Elek'!$A$282:$I$282</definedName>
    <definedName name="Art_71.00.">'Detail Elek'!$A$285:$I$285</definedName>
    <definedName name="Art_71.10.">'Detail Elek'!$A$288:$I$288</definedName>
    <definedName name="Art_71.11.">'Detail Elek'!$A$291:$I$298</definedName>
    <definedName name="Art_71.13.">'Detail Elek'!$A$301:$I$307</definedName>
    <definedName name="Art_71.20.">'Detail Elek'!$A$310:$I$310</definedName>
    <definedName name="Art_71.21.">'Detail Elek'!$A$313:$I$318</definedName>
    <definedName name="Art_71.23.">'Detail Elek'!$A$321:$I$333</definedName>
    <definedName name="Art_71.30.">'Detail Elek'!$A$336:$I$336</definedName>
    <definedName name="Art_71.36.">'Detail Elek'!$A$339:$I$346</definedName>
    <definedName name="Art_71.38.">'Detail Elek'!$A$349:$I$356</definedName>
    <definedName name="Art_71.39.">'Detail Elek'!$A$359:$I$366</definedName>
    <definedName name="Art_71.40.">'Detail Elek'!$A$369:$I$369</definedName>
    <definedName name="Art_71.41.01">'Detail Elek'!$A$372:$I$379</definedName>
    <definedName name="Art_71.41.02">'Detail Elek'!$A$382:$I$389</definedName>
    <definedName name="Art_71.43.">'Detail Elek'!$A$392:$I$399</definedName>
    <definedName name="Art_72.">'Detail Elek'!$A$402:$I$402</definedName>
    <definedName name="Art_72.00.">'Detail Elek'!$A$405:$I$405</definedName>
    <definedName name="Art_72.10.">'Detail Elek'!$A$408:$I$408</definedName>
    <definedName name="Art_72.11.">'Detail Elek'!$A$411:$I$418</definedName>
    <definedName name="Art_72.12.">'Detail Elek'!$A$421:$I$428</definedName>
    <definedName name="Art_72.30.">'Detail Elek'!$A$431:$I$431</definedName>
    <definedName name="Art_72.31.">'Detail Elek'!$A$434:$I$434</definedName>
    <definedName name="Art_72.31.01.">'Detail Elek'!$A$437:$I$444</definedName>
    <definedName name="Art_72.31.02.">'Detail Elek'!$A$447:$I$454</definedName>
    <definedName name="Art_72.31.04.">'Detail Elek'!$A$457:$I$464</definedName>
    <definedName name="Art_72.50.">'Detail Elek'!$A$467:$I$467</definedName>
    <definedName name="Art_72.51.">'Detail Elek'!$A$470:$I$477</definedName>
    <definedName name="Art_72.55.">'Detail Elek'!$A$480:$I$481</definedName>
    <definedName name="Art_74.">'Detail Elek'!$A$484:$I$484</definedName>
    <definedName name="Art_74.00.">'Detail Elek'!$A$487:$I$487</definedName>
    <definedName name="Art_74.30.">'Detail Elek'!$A$490:$I$490</definedName>
    <definedName name="Art_74.31.">'Detail Elek'!$A$493:$I$500</definedName>
    <definedName name="Art_74.32.">'Detail Elek'!$A$503:$I$508</definedName>
    <definedName name="Art_74.33.">'Detail Elek'!$A$511:$I$518</definedName>
    <definedName name="Art_74.34.">'Detail Elek'!$A$521:$I$522</definedName>
    <definedName name="Art_74.35.">'Detail Elek'!$A$525:$I$532</definedName>
    <definedName name="Art_74.80.">'Detail Elek'!$A$525:$I$532</definedName>
    <definedName name="Art_77.">'Detail Elek'!$A$535:$I$535</definedName>
    <definedName name="Art_77.00.">'Detail Elek'!$A$538:$I$538</definedName>
    <definedName name="Art_77.10.">'Detail Elek'!$A$541:$I$542</definedName>
    <definedName name="Art_77.20.">'Detail Elek'!$A$545:$I$546</definedName>
    <definedName name="Art_77.30.">'Detail Elek'!$A$549:$I$550</definedName>
    <definedName name="Art_77.40.">'Detail Elek'!$A$553:$I$553</definedName>
    <definedName name="Art_77.41.">'Detail Elek'!$A$556:$I$556</definedName>
    <definedName name="Art_77.41.10">'Detail Elek'!$A$559:$I$566</definedName>
    <definedName name="Art_77.41.20">'Detail Elek'!$A$569:$I$576</definedName>
    <definedName name="Art_77.42.">'Detail Elek'!$A$579:$I$579</definedName>
    <definedName name="Art_77.42.10">'Detail Elek'!$A$582:$I$589</definedName>
    <definedName name="Art_77.42.20">'Detail Elek'!$A$592:$I$599</definedName>
    <definedName name="Art_77.60.">'Detail Elek'!$A$602:$I$602</definedName>
    <definedName name="Art_77.62.">'Detail Elek'!$A$605:$I$605</definedName>
    <definedName name="Art_77.62.10.">'Detail Elek'!$A$608:$I$615</definedName>
    <definedName name="Art_77.62.20.">'Detail Elek'!$A$618:$I$625</definedName>
    <definedName name="Art_77.62.30.">'Detail Elek'!#REF!</definedName>
    <definedName name="Art_77.62.40.">'Detail Elek'!#REF!</definedName>
    <definedName name="Art_77.63.">'Detail Elek'!#REF!</definedName>
    <definedName name="Art_78.">'Detail Elek'!$A$628:$I$628</definedName>
    <definedName name="Art_78.00.">'Detail Elek'!$A$631:$I$631</definedName>
    <definedName name="Art_78.10.">'Detail Elek'!$A$634:$I$634</definedName>
    <definedName name="Art_78.11.">'Detail Elek'!$A$637:$I$642</definedName>
    <definedName name="first_cell" localSheetId="1">'Samenvatting Elek'!$B$9</definedName>
    <definedName name="Section" localSheetId="0">'Detail Elek'!#REF!</definedName>
    <definedName name="Section" localSheetId="1">'Samenvatting Elek'!#REF!</definedName>
    <definedName name="TotalLine" localSheetId="1">'Samenvatting Elek'!$B$164</definedName>
    <definedName name="Z_1EA1DABB_57F0_4012_99F2_78FD6D87C9A2_.wvu.Cols" localSheetId="1" hidden="1">'Samenvatting Elek'!$M:$N,'Samenvatting Elek'!$P:$Q,'Samenvatting Elek'!$S:$T,'Samenvatting Elek'!$V:$W,'Samenvatting Elek'!$Y:$Z,'Samenvatting Elek'!$AB:$AC</definedName>
    <definedName name="Z_1EA1DABB_57F0_4012_99F2_78FD6D87C9A2_.wvu.PrintArea" localSheetId="1" hidden="1">'Samenvatting Elek'!$A$1:$AA$34</definedName>
    <definedName name="Z_1EA1DABB_57F0_4012_99F2_78FD6D87C9A2_.wvu.PrintTitles" localSheetId="1" hidden="1">'Samenvatting Elek'!$1:$1</definedName>
    <definedName name="Z_1EA1DABB_57F0_4012_99F2_78FD6D87C9A2_.wvu.Rows" localSheetId="1" hidden="1">'Samenvatting Elek'!$1:$1</definedName>
    <definedName name="Z_2C2C9747_B0CA_48E2_A022_EAB318442176_.wvu.Cols" localSheetId="0" hidden="1">'Detail Elek'!$K:$XFD</definedName>
    <definedName name="Z_2C2C9747_B0CA_48E2_A022_EAB318442176_.wvu.Cols" localSheetId="1" hidden="1">'Samenvatting Elek'!$G:$G,'Samenvatting Elek'!$K:$AC</definedName>
    <definedName name="Z_2C2C9747_B0CA_48E2_A022_EAB318442176_.wvu.Rows" localSheetId="0" hidden="1">'Detail Elek'!$1:$1</definedName>
    <definedName name="Z_2C2C9747_B0CA_48E2_A022_EAB318442176_.wvu.Rows" localSheetId="1" hidden="1">'Samenvatting Elek'!$1:$1</definedName>
    <definedName name="Z_685BC701_F7E6_48FC_BD29_D129DB944F46_.wvu.Cols" localSheetId="1" hidden="1">'Samenvatting Elek'!$AB:$AC</definedName>
    <definedName name="Z_685BC701_F7E6_48FC_BD29_D129DB944F46_.wvu.PrintArea" localSheetId="1" hidden="1">'Samenvatting Elek'!$A$1:$AA$34</definedName>
    <definedName name="Z_685BC701_F7E6_48FC_BD29_D129DB944F46_.wvu.PrintTitles" localSheetId="1" hidden="1">'Samenvatting Elek'!$1:$1</definedName>
    <definedName name="Z_685BC701_F7E6_48FC_BD29_D129DB944F46_.wvu.Rows" localSheetId="1" hidden="1">'Samenvatting Elek'!$1:$1</definedName>
    <definedName name="Z_A67801EE_16AB_4453_B88D_EB118836BA93_.wvu.Cols" localSheetId="0" hidden="1">'Detail Elek'!$K:$XFD</definedName>
    <definedName name="Z_A67801EE_16AB_4453_B88D_EB118836BA93_.wvu.Cols" localSheetId="1" hidden="1">'Samenvatting Elek'!$K:$AC</definedName>
    <definedName name="Z_A67801EE_16AB_4453_B88D_EB118836BA93_.wvu.Rows" localSheetId="0" hidden="1">'Detail Elek'!$1:$1</definedName>
    <definedName name="Z_A67801EE_16AB_4453_B88D_EB118836BA93_.wvu.Rows" localSheetId="1" hidden="1">'Samenvatting Elek'!$1:$1</definedName>
  </definedNames>
  <calcPr calcId="191029" refMode="R1C1"/>
  <customWorkbookViews>
    <customWorkbookView name="Simple" guid="{2C2C9747-B0CA-48E2-A022-EAB318442176}" includePrintSettings="0" maximized="1" xWindow="-8" yWindow="-8" windowWidth="1936" windowHeight="1176" activeSheetId="2"/>
    <customWorkbookView name="Extended" guid="{A67801EE-16AB-4453-B88D-EB118836BA93}" includePrintSettings="0" maximized="1" xWindow="-8" yWindow="-8" windowWidth="1936" windowHeight="117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9" i="18" l="1"/>
  <c r="AC10" i="18"/>
  <c r="AC11" i="18"/>
  <c r="AC12" i="18"/>
  <c r="AC13" i="18"/>
  <c r="AC14" i="18"/>
  <c r="AC15" i="18"/>
  <c r="AC16" i="18"/>
  <c r="AC17" i="18"/>
  <c r="AC18" i="18"/>
  <c r="AC19" i="18"/>
  <c r="AC20" i="18"/>
  <c r="AC21" i="18"/>
  <c r="AC22" i="18"/>
  <c r="AC23" i="18"/>
  <c r="AC24" i="18"/>
  <c r="AC25" i="18"/>
  <c r="AC26" i="18"/>
  <c r="AC27" i="18"/>
  <c r="AC28" i="18"/>
  <c r="AC29" i="18"/>
  <c r="AC30" i="18"/>
  <c r="AC31" i="18"/>
  <c r="AC32" i="18"/>
  <c r="AC33" i="18"/>
  <c r="AC34" i="18"/>
  <c r="AC35" i="18"/>
  <c r="AC36" i="18"/>
  <c r="AC37" i="18"/>
  <c r="AC38" i="18"/>
  <c r="AC39" i="18"/>
  <c r="AC40" i="18"/>
  <c r="AC41" i="18"/>
  <c r="AC42" i="18"/>
  <c r="AC43" i="18"/>
  <c r="AC44" i="18"/>
  <c r="AC45" i="18"/>
  <c r="AC46" i="18"/>
  <c r="AC47" i="18"/>
  <c r="AC48" i="18"/>
  <c r="AC49" i="18"/>
  <c r="AC50" i="18"/>
  <c r="AC51" i="18"/>
  <c r="AC52" i="18"/>
  <c r="AC53" i="18"/>
  <c r="AC54" i="18"/>
  <c r="AC55" i="18"/>
  <c r="AC56" i="18"/>
  <c r="AC57" i="18"/>
  <c r="AC58" i="18"/>
  <c r="AC59" i="18"/>
  <c r="AC60" i="18"/>
  <c r="AC61" i="18"/>
  <c r="AC62" i="18"/>
  <c r="AC63" i="18"/>
  <c r="AC64" i="18"/>
  <c r="AC65" i="18"/>
  <c r="AC66" i="18"/>
  <c r="AC67" i="18"/>
  <c r="AC68" i="18"/>
  <c r="AC69" i="18"/>
  <c r="AC70" i="18"/>
  <c r="AC71" i="18"/>
  <c r="AC72" i="18"/>
  <c r="AC73" i="18"/>
  <c r="AC74" i="18"/>
  <c r="AC75" i="18"/>
  <c r="AC76" i="18"/>
  <c r="AC77" i="18"/>
  <c r="AC78" i="18"/>
  <c r="AC79" i="18"/>
  <c r="AC80" i="18"/>
  <c r="AC81" i="18"/>
  <c r="AC82" i="18"/>
  <c r="AC83" i="18"/>
  <c r="AC84" i="18"/>
  <c r="AC85" i="18"/>
  <c r="AC86" i="18"/>
  <c r="AC87" i="18"/>
  <c r="AC88" i="18"/>
  <c r="AC89" i="18"/>
  <c r="AC90" i="18"/>
  <c r="AC91" i="18"/>
  <c r="AC92" i="18"/>
  <c r="AC93" i="18"/>
  <c r="AC94" i="18"/>
  <c r="AC95" i="18"/>
  <c r="AC96" i="18"/>
  <c r="AC97" i="18"/>
  <c r="AC98" i="18"/>
  <c r="AC99" i="18"/>
  <c r="AC100" i="18"/>
  <c r="AC101" i="18"/>
  <c r="AC102" i="18"/>
  <c r="AC103" i="18"/>
  <c r="AC104" i="18"/>
  <c r="AC105" i="18"/>
  <c r="AC106" i="18"/>
  <c r="AC107" i="18"/>
  <c r="AC108" i="18"/>
  <c r="AC109" i="18"/>
  <c r="AC110" i="18"/>
  <c r="AC111" i="18"/>
  <c r="AC112" i="18"/>
  <c r="AC113" i="18"/>
  <c r="AC114" i="18"/>
  <c r="AC115" i="18"/>
  <c r="AC116" i="18"/>
  <c r="AC117" i="18"/>
  <c r="AC118" i="18"/>
  <c r="AC119" i="18"/>
  <c r="AC120" i="18"/>
  <c r="AC121" i="18"/>
  <c r="AC122" i="18"/>
  <c r="AC123" i="18"/>
  <c r="AC124" i="18"/>
  <c r="AC125" i="18"/>
  <c r="AC126" i="18"/>
  <c r="AC127" i="18"/>
  <c r="AC128" i="18"/>
  <c r="AC129" i="18"/>
  <c r="AC130" i="18"/>
  <c r="AC131" i="18"/>
  <c r="AC132" i="18"/>
  <c r="AC133" i="18"/>
  <c r="AC134" i="18"/>
  <c r="AC135" i="18"/>
  <c r="AC136" i="18"/>
  <c r="AC137" i="18"/>
  <c r="AC138" i="18"/>
  <c r="AC139" i="18"/>
  <c r="AC140" i="18"/>
  <c r="AC141" i="18"/>
  <c r="AC142" i="18"/>
  <c r="AC143" i="18"/>
  <c r="AC144" i="18"/>
  <c r="AC145" i="18"/>
  <c r="AC146" i="18"/>
  <c r="AC147" i="18"/>
  <c r="AC148" i="18"/>
  <c r="AC149" i="18"/>
  <c r="AC150" i="18"/>
  <c r="AC151" i="18"/>
  <c r="AC152" i="18"/>
  <c r="AC153" i="18"/>
  <c r="AC154" i="18"/>
  <c r="AC155" i="18"/>
  <c r="AC156" i="18"/>
  <c r="AC157" i="18"/>
  <c r="AC158" i="18"/>
  <c r="AC159" i="18"/>
  <c r="AC160" i="18"/>
  <c r="AC161" i="18"/>
  <c r="AC162" i="18"/>
  <c r="AC163" i="18"/>
  <c r="AA163" i="18"/>
  <c r="AA161" i="18"/>
  <c r="AA160" i="18"/>
  <c r="AA159" i="18"/>
  <c r="AA158" i="18"/>
  <c r="AA157" i="18"/>
  <c r="AA156" i="18"/>
  <c r="AA153" i="18"/>
  <c r="AA152" i="18"/>
  <c r="AA149" i="18"/>
  <c r="AA146" i="18"/>
  <c r="AA145" i="18"/>
  <c r="AA141" i="18"/>
  <c r="AA140" i="18"/>
  <c r="AA139" i="18"/>
  <c r="AA138" i="18"/>
  <c r="AA137" i="18"/>
  <c r="AA131" i="18"/>
  <c r="AA130" i="18"/>
  <c r="AA129" i="18"/>
  <c r="AA128" i="18"/>
  <c r="AA127" i="18"/>
  <c r="AA126" i="18"/>
  <c r="AA123" i="18"/>
  <c r="AA119" i="18"/>
  <c r="AA118" i="18"/>
  <c r="AA115" i="18"/>
  <c r="AA114" i="18"/>
  <c r="AA113" i="18"/>
  <c r="AA112" i="18"/>
  <c r="AA111" i="18"/>
  <c r="AA110" i="18"/>
  <c r="AA106" i="18"/>
  <c r="AA102" i="18"/>
  <c r="AA99" i="18"/>
  <c r="AA96" i="18"/>
  <c r="AA95" i="18"/>
  <c r="AA94" i="18"/>
  <c r="AA93" i="18"/>
  <c r="AA92" i="18"/>
  <c r="AA91" i="18"/>
  <c r="AA87" i="18"/>
  <c r="AA86" i="18"/>
  <c r="AA81" i="18"/>
  <c r="AA75" i="18"/>
  <c r="AA71" i="18"/>
  <c r="AA69" i="18"/>
  <c r="AA64" i="18"/>
  <c r="AA63" i="18"/>
  <c r="AA62" i="18"/>
  <c r="AA61" i="18"/>
  <c r="AA60" i="18"/>
  <c r="AA59" i="18"/>
  <c r="AA56" i="18"/>
  <c r="AA55" i="18"/>
  <c r="AA54" i="18"/>
  <c r="AA53" i="18"/>
  <c r="AA52" i="18"/>
  <c r="AA50" i="18"/>
  <c r="AA49" i="18"/>
  <c r="AA48" i="18"/>
  <c r="AA47" i="18"/>
  <c r="AA46" i="18"/>
  <c r="AA45" i="18"/>
  <c r="AA44" i="18"/>
  <c r="AA39" i="18"/>
  <c r="AA35" i="18"/>
  <c r="AA26" i="18"/>
  <c r="AA25" i="18"/>
  <c r="AA24" i="18"/>
  <c r="AA23" i="18"/>
  <c r="AA22" i="18"/>
  <c r="AA21" i="18"/>
  <c r="AA20" i="18"/>
  <c r="AA19" i="18"/>
  <c r="AA18" i="18"/>
  <c r="AA17" i="18"/>
  <c r="AA16" i="18"/>
  <c r="AA15" i="18"/>
  <c r="AA14" i="18"/>
  <c r="AA13" i="18"/>
  <c r="AA12" i="18"/>
  <c r="AA11" i="18"/>
  <c r="AA10" i="18"/>
  <c r="AA9" i="18"/>
  <c r="W9" i="18"/>
  <c r="W10" i="18"/>
  <c r="W11" i="18"/>
  <c r="W12" i="18"/>
  <c r="W13" i="18"/>
  <c r="W14" i="18"/>
  <c r="W15" i="18"/>
  <c r="W16" i="18"/>
  <c r="W17" i="18"/>
  <c r="W18" i="18"/>
  <c r="W19" i="18"/>
  <c r="W20" i="18"/>
  <c r="W21" i="18"/>
  <c r="W22" i="18"/>
  <c r="W23" i="18"/>
  <c r="W24" i="18"/>
  <c r="W25" i="18"/>
  <c r="W26" i="18"/>
  <c r="W27" i="18"/>
  <c r="W28" i="18"/>
  <c r="W29" i="18"/>
  <c r="W30" i="18"/>
  <c r="W31" i="18"/>
  <c r="W32" i="18"/>
  <c r="W33" i="18"/>
  <c r="W34" i="18"/>
  <c r="W35" i="18"/>
  <c r="W36" i="18"/>
  <c r="W37" i="18"/>
  <c r="W38" i="18"/>
  <c r="W39" i="18"/>
  <c r="W40" i="18"/>
  <c r="W41" i="18"/>
  <c r="W42" i="18"/>
  <c r="W43" i="18"/>
  <c r="W44" i="18"/>
  <c r="W45" i="18"/>
  <c r="W46" i="18"/>
  <c r="W47" i="18"/>
  <c r="W48" i="18"/>
  <c r="W49" i="18"/>
  <c r="W50" i="18"/>
  <c r="W51" i="18"/>
  <c r="W52" i="18"/>
  <c r="W53" i="18"/>
  <c r="W54" i="18"/>
  <c r="W55" i="18"/>
  <c r="W56" i="18"/>
  <c r="W57" i="18"/>
  <c r="W58" i="18"/>
  <c r="W59" i="18"/>
  <c r="W60" i="18"/>
  <c r="W61" i="18"/>
  <c r="W62" i="18"/>
  <c r="W63" i="18"/>
  <c r="W64" i="18"/>
  <c r="W65" i="18"/>
  <c r="W66" i="18"/>
  <c r="W67" i="18"/>
  <c r="W68" i="18"/>
  <c r="W69" i="18"/>
  <c r="W70" i="18"/>
  <c r="W71" i="18"/>
  <c r="W72" i="18"/>
  <c r="W73" i="18"/>
  <c r="W74" i="18"/>
  <c r="W75" i="18"/>
  <c r="W76" i="18"/>
  <c r="W77" i="18"/>
  <c r="W78" i="18"/>
  <c r="W79" i="18"/>
  <c r="W80" i="18"/>
  <c r="W81" i="18"/>
  <c r="W82" i="18"/>
  <c r="W83" i="18"/>
  <c r="W84" i="18"/>
  <c r="W85" i="18"/>
  <c r="W86" i="18"/>
  <c r="W87" i="18"/>
  <c r="W88" i="18"/>
  <c r="W89" i="18"/>
  <c r="W90" i="18"/>
  <c r="W91" i="18"/>
  <c r="W92" i="18"/>
  <c r="W93" i="18"/>
  <c r="W94" i="18"/>
  <c r="W95" i="18"/>
  <c r="W96" i="18"/>
  <c r="W97" i="18"/>
  <c r="W98" i="18"/>
  <c r="W99" i="18"/>
  <c r="W100" i="18"/>
  <c r="W101" i="18"/>
  <c r="W102" i="18"/>
  <c r="W103" i="18"/>
  <c r="W104" i="18"/>
  <c r="W105" i="18"/>
  <c r="W106" i="18"/>
  <c r="W107" i="18"/>
  <c r="W108" i="18"/>
  <c r="W109" i="18"/>
  <c r="W110" i="18"/>
  <c r="W111" i="18"/>
  <c r="W112" i="18"/>
  <c r="W113" i="18"/>
  <c r="W114" i="18"/>
  <c r="W115" i="18"/>
  <c r="W116" i="18"/>
  <c r="W117" i="18"/>
  <c r="W118" i="18"/>
  <c r="W119" i="18"/>
  <c r="W120" i="18"/>
  <c r="W121" i="18"/>
  <c r="W122" i="18"/>
  <c r="W123" i="18"/>
  <c r="W124" i="18"/>
  <c r="W125" i="18"/>
  <c r="W126" i="18"/>
  <c r="W127" i="18"/>
  <c r="W128" i="18"/>
  <c r="W129" i="18"/>
  <c r="W130" i="18"/>
  <c r="W131" i="18"/>
  <c r="W132" i="18"/>
  <c r="W133" i="18"/>
  <c r="W134" i="18"/>
  <c r="W135" i="18"/>
  <c r="W136" i="18"/>
  <c r="W137" i="18"/>
  <c r="W138" i="18"/>
  <c r="W139" i="18"/>
  <c r="W140" i="18"/>
  <c r="W141" i="18"/>
  <c r="W142" i="18"/>
  <c r="W143" i="18"/>
  <c r="W144" i="18"/>
  <c r="W145" i="18"/>
  <c r="W146" i="18"/>
  <c r="W147" i="18"/>
  <c r="W148" i="18"/>
  <c r="W149" i="18"/>
  <c r="W150" i="18"/>
  <c r="W151" i="18"/>
  <c r="W152" i="18"/>
  <c r="W153" i="18"/>
  <c r="W154" i="18"/>
  <c r="W155" i="18"/>
  <c r="W156" i="18"/>
  <c r="W157" i="18"/>
  <c r="W158" i="18"/>
  <c r="W159" i="18"/>
  <c r="W160" i="18"/>
  <c r="W161" i="18"/>
  <c r="W162" i="18"/>
  <c r="W163" i="18"/>
  <c r="U163" i="18"/>
  <c r="U161" i="18"/>
  <c r="U160" i="18"/>
  <c r="U159" i="18"/>
  <c r="U158" i="18"/>
  <c r="U157" i="18"/>
  <c r="U156" i="18"/>
  <c r="U153" i="18"/>
  <c r="U152" i="18"/>
  <c r="U149" i="18"/>
  <c r="U146" i="18"/>
  <c r="U145" i="18"/>
  <c r="U141" i="18"/>
  <c r="U140" i="18"/>
  <c r="U139" i="18"/>
  <c r="U138" i="18"/>
  <c r="U137" i="18"/>
  <c r="U131" i="18"/>
  <c r="U130" i="18"/>
  <c r="U129" i="18"/>
  <c r="U128" i="18"/>
  <c r="U127" i="18"/>
  <c r="U126" i="18"/>
  <c r="U123" i="18"/>
  <c r="U119" i="18"/>
  <c r="U118" i="18"/>
  <c r="U115" i="18"/>
  <c r="U114" i="18"/>
  <c r="U113" i="18"/>
  <c r="U112" i="18"/>
  <c r="U111" i="18"/>
  <c r="U110" i="18"/>
  <c r="U106" i="18"/>
  <c r="U102" i="18"/>
  <c r="U99" i="18"/>
  <c r="U96" i="18"/>
  <c r="U95" i="18"/>
  <c r="U94" i="18"/>
  <c r="U93" i="18"/>
  <c r="U92" i="18"/>
  <c r="U91" i="18"/>
  <c r="U87" i="18"/>
  <c r="U86" i="18"/>
  <c r="U81" i="18"/>
  <c r="U75" i="18"/>
  <c r="U71" i="18"/>
  <c r="U69" i="18"/>
  <c r="U64" i="18"/>
  <c r="U63" i="18"/>
  <c r="U62" i="18"/>
  <c r="U61" i="18"/>
  <c r="U60" i="18"/>
  <c r="U59" i="18"/>
  <c r="U56" i="18"/>
  <c r="U55" i="18"/>
  <c r="U54" i="18"/>
  <c r="U53" i="18"/>
  <c r="U52" i="18"/>
  <c r="U50" i="18"/>
  <c r="U49" i="18"/>
  <c r="U48" i="18"/>
  <c r="U47" i="18"/>
  <c r="U46" i="18"/>
  <c r="U45" i="18"/>
  <c r="U44" i="18"/>
  <c r="U39" i="18"/>
  <c r="U35" i="18"/>
  <c r="U26" i="18"/>
  <c r="U25" i="18"/>
  <c r="U24" i="18"/>
  <c r="U23" i="18"/>
  <c r="U22" i="18"/>
  <c r="U21" i="18"/>
  <c r="U20" i="18"/>
  <c r="U19" i="18"/>
  <c r="U18" i="18"/>
  <c r="U17" i="18"/>
  <c r="U16" i="18"/>
  <c r="U15" i="18"/>
  <c r="U14" i="18"/>
  <c r="U13" i="18"/>
  <c r="U12" i="18"/>
  <c r="U11" i="18"/>
  <c r="U10" i="18"/>
  <c r="U9" i="18"/>
  <c r="Q9" i="18"/>
  <c r="Q10" i="18"/>
  <c r="Q11" i="18"/>
  <c r="Q12" i="18"/>
  <c r="Q13" i="18"/>
  <c r="Q14" i="18"/>
  <c r="Q15" i="18"/>
  <c r="Q16" i="18"/>
  <c r="Q17" i="18"/>
  <c r="Q18" i="18"/>
  <c r="Q19" i="18"/>
  <c r="Q20" i="18"/>
  <c r="Q21" i="18"/>
  <c r="Q22" i="18"/>
  <c r="Q23" i="18"/>
  <c r="Q24" i="18"/>
  <c r="Q25" i="18"/>
  <c r="Q26" i="18"/>
  <c r="Q27" i="18"/>
  <c r="Q28" i="18"/>
  <c r="Q29" i="18"/>
  <c r="Q30" i="18"/>
  <c r="Q31" i="18"/>
  <c r="Q32" i="18"/>
  <c r="Q33" i="18"/>
  <c r="Q34" i="18"/>
  <c r="Q35" i="18"/>
  <c r="Q36" i="18"/>
  <c r="Q37" i="18"/>
  <c r="Q38" i="18"/>
  <c r="Q39" i="18"/>
  <c r="Q40" i="18"/>
  <c r="Q41" i="18"/>
  <c r="Q42" i="18"/>
  <c r="Q43" i="18"/>
  <c r="Q44" i="18"/>
  <c r="Q45" i="18"/>
  <c r="Q46" i="18"/>
  <c r="Q47" i="18"/>
  <c r="Q48" i="18"/>
  <c r="Q49" i="18"/>
  <c r="Q50" i="18"/>
  <c r="Q51" i="18"/>
  <c r="Q52" i="18"/>
  <c r="Q53" i="18"/>
  <c r="Q54" i="18"/>
  <c r="Q55" i="18"/>
  <c r="Q56" i="18"/>
  <c r="Q57" i="18"/>
  <c r="Q58" i="18"/>
  <c r="Q59" i="18"/>
  <c r="Q60" i="18"/>
  <c r="Q61" i="18"/>
  <c r="Q62" i="18"/>
  <c r="Q63" i="18"/>
  <c r="Q64" i="18"/>
  <c r="Q65" i="18"/>
  <c r="Q66" i="18"/>
  <c r="Q67" i="18"/>
  <c r="Q68" i="18"/>
  <c r="Q69" i="18"/>
  <c r="Q70" i="18"/>
  <c r="Q71" i="18"/>
  <c r="Q72" i="18"/>
  <c r="Q73" i="18"/>
  <c r="Q74" i="18"/>
  <c r="Q75" i="18"/>
  <c r="Q76" i="18"/>
  <c r="Q77" i="18"/>
  <c r="Q78" i="18"/>
  <c r="Q79" i="18"/>
  <c r="Q80" i="18"/>
  <c r="Q81" i="18"/>
  <c r="Q82" i="18"/>
  <c r="Q83" i="18"/>
  <c r="Q84" i="18"/>
  <c r="Q85" i="18"/>
  <c r="Q86" i="18"/>
  <c r="Q87" i="18"/>
  <c r="Q88" i="18"/>
  <c r="Q89" i="18"/>
  <c r="Q90" i="18"/>
  <c r="Q91" i="18"/>
  <c r="Q92" i="18"/>
  <c r="Q93" i="18"/>
  <c r="Q94" i="18"/>
  <c r="Q95" i="18"/>
  <c r="Q96" i="18"/>
  <c r="Q97" i="18"/>
  <c r="Q98" i="18"/>
  <c r="Q99" i="18"/>
  <c r="Q100" i="18"/>
  <c r="Q101" i="18"/>
  <c r="Q102" i="18"/>
  <c r="Q103" i="18"/>
  <c r="Q104" i="18"/>
  <c r="Q105" i="18"/>
  <c r="Q106" i="18"/>
  <c r="Q107" i="18"/>
  <c r="Q108" i="18"/>
  <c r="Q109" i="18"/>
  <c r="Q110" i="18"/>
  <c r="Q111" i="18"/>
  <c r="Q112" i="18"/>
  <c r="Q113" i="18"/>
  <c r="Q114" i="18"/>
  <c r="Q115" i="18"/>
  <c r="Q116" i="18"/>
  <c r="Q117" i="18"/>
  <c r="Q118" i="18"/>
  <c r="Q119" i="18"/>
  <c r="Q120" i="18"/>
  <c r="Q121" i="18"/>
  <c r="Q122" i="18"/>
  <c r="Q123" i="18"/>
  <c r="Q124" i="18"/>
  <c r="Q125" i="18"/>
  <c r="Q126" i="18"/>
  <c r="Q127" i="18"/>
  <c r="Q128" i="18"/>
  <c r="Q129" i="18"/>
  <c r="Q130" i="18"/>
  <c r="Q131" i="18"/>
  <c r="Q132" i="18"/>
  <c r="Q133" i="18"/>
  <c r="Q134" i="18"/>
  <c r="Q135" i="18"/>
  <c r="Q136" i="18"/>
  <c r="Q137" i="18"/>
  <c r="Q138" i="18"/>
  <c r="Q139" i="18"/>
  <c r="Q140" i="18"/>
  <c r="Q141" i="18"/>
  <c r="Q142" i="18"/>
  <c r="Q143" i="18"/>
  <c r="Q144" i="18"/>
  <c r="Q145" i="18"/>
  <c r="Q146" i="18"/>
  <c r="Q147" i="18"/>
  <c r="Q148" i="18"/>
  <c r="Q149" i="18"/>
  <c r="Q150" i="18"/>
  <c r="Q151" i="18"/>
  <c r="Q152" i="18"/>
  <c r="Q153" i="18"/>
  <c r="Q154" i="18"/>
  <c r="Q155" i="18"/>
  <c r="Q156" i="18"/>
  <c r="Q157" i="18"/>
  <c r="Q158" i="18"/>
  <c r="Q159" i="18"/>
  <c r="Q160" i="18"/>
  <c r="Q161" i="18"/>
  <c r="Q162" i="18"/>
  <c r="Q163" i="18"/>
  <c r="O163" i="18"/>
  <c r="O161" i="18"/>
  <c r="O160" i="18"/>
  <c r="O159" i="18"/>
  <c r="O158" i="18"/>
  <c r="O157" i="18"/>
  <c r="O156" i="18"/>
  <c r="O153" i="18"/>
  <c r="O152" i="18"/>
  <c r="O149" i="18"/>
  <c r="O146" i="18"/>
  <c r="O145" i="18"/>
  <c r="O141" i="18"/>
  <c r="O140" i="18"/>
  <c r="O139" i="18"/>
  <c r="O138" i="18"/>
  <c r="O137" i="18"/>
  <c r="O131" i="18"/>
  <c r="O130" i="18"/>
  <c r="O129" i="18"/>
  <c r="O128" i="18"/>
  <c r="O127" i="18"/>
  <c r="O126" i="18"/>
  <c r="O123" i="18"/>
  <c r="O119" i="18"/>
  <c r="O118" i="18"/>
  <c r="O115" i="18"/>
  <c r="O114" i="18"/>
  <c r="O113" i="18"/>
  <c r="O112" i="18"/>
  <c r="O111" i="18"/>
  <c r="O110" i="18"/>
  <c r="O106" i="18"/>
  <c r="O102" i="18"/>
  <c r="O99" i="18"/>
  <c r="O96" i="18"/>
  <c r="O95" i="18"/>
  <c r="O94" i="18"/>
  <c r="O93" i="18"/>
  <c r="O92" i="18"/>
  <c r="O91" i="18"/>
  <c r="O87" i="18"/>
  <c r="O86" i="18"/>
  <c r="O81" i="18"/>
  <c r="O75" i="18"/>
  <c r="O71" i="18"/>
  <c r="O69" i="18"/>
  <c r="O64" i="18"/>
  <c r="O63" i="18"/>
  <c r="O62" i="18"/>
  <c r="O61" i="18"/>
  <c r="O60" i="18"/>
  <c r="O59" i="18"/>
  <c r="O56" i="18"/>
  <c r="O55" i="18"/>
  <c r="O54" i="18"/>
  <c r="O53" i="18"/>
  <c r="O52" i="18"/>
  <c r="O50" i="18"/>
  <c r="O49" i="18"/>
  <c r="O48" i="18"/>
  <c r="O47" i="18"/>
  <c r="O46" i="18"/>
  <c r="O45" i="18"/>
  <c r="O44" i="18"/>
  <c r="O39" i="18"/>
  <c r="O35" i="18"/>
  <c r="O26" i="18"/>
  <c r="O25" i="18"/>
  <c r="O24" i="18"/>
  <c r="O23" i="18"/>
  <c r="O22" i="18"/>
  <c r="O21" i="18"/>
  <c r="O20" i="18"/>
  <c r="O19" i="18"/>
  <c r="O18" i="18"/>
  <c r="O17" i="18"/>
  <c r="O16" i="18"/>
  <c r="O15" i="18"/>
  <c r="O14" i="18"/>
  <c r="O13" i="18"/>
  <c r="O12" i="18"/>
  <c r="O11" i="18"/>
  <c r="O10" i="18"/>
  <c r="O9" i="18"/>
  <c r="A28" i="18"/>
  <c r="A29" i="18" s="1"/>
  <c r="A30" i="18" s="1"/>
  <c r="A31" i="18" s="1"/>
  <c r="A32" i="18" s="1"/>
  <c r="A33" i="18" s="1"/>
  <c r="A34" i="18" s="1"/>
  <c r="A36" i="18" s="1"/>
  <c r="A37" i="18" s="1"/>
  <c r="A38" i="18" s="1"/>
  <c r="A40" i="18" s="1"/>
  <c r="A41" i="18" s="1"/>
  <c r="A42" i="18" s="1"/>
  <c r="A43" i="18" s="1"/>
  <c r="A51" i="18" s="1"/>
  <c r="A57" i="18" s="1"/>
  <c r="A58" i="18" s="1"/>
  <c r="A65" i="18" s="1"/>
  <c r="A66" i="18" s="1"/>
  <c r="A67" i="18" s="1"/>
  <c r="A68" i="18" s="1"/>
  <c r="A70" i="18" s="1"/>
  <c r="A72" i="18" s="1"/>
  <c r="A73" i="18" s="1"/>
  <c r="A74" i="18" s="1"/>
  <c r="A76" i="18" s="1"/>
  <c r="A77" i="18" s="1"/>
  <c r="A78" i="18" s="1"/>
  <c r="A79" i="18" s="1"/>
  <c r="A80" i="18" s="1"/>
  <c r="A82" i="18" s="1"/>
  <c r="A83" i="18" s="1"/>
  <c r="A84" i="18" s="1"/>
  <c r="A85" i="18" s="1"/>
  <c r="A88" i="18" s="1"/>
  <c r="A89" i="18" s="1"/>
  <c r="A90" i="18" s="1"/>
  <c r="A97" i="18" s="1"/>
  <c r="A98" i="18" s="1"/>
  <c r="A100" i="18" s="1"/>
  <c r="A101" i="18" s="1"/>
  <c r="A103" i="18" s="1"/>
  <c r="A104" i="18" s="1"/>
  <c r="A105" i="18" s="1"/>
  <c r="A107" i="18" s="1"/>
  <c r="A108" i="18" s="1"/>
  <c r="A109" i="18" s="1"/>
  <c r="A116" i="18" s="1"/>
  <c r="A117" i="18" s="1"/>
  <c r="A120" i="18" s="1"/>
  <c r="A121" i="18" s="1"/>
  <c r="A122" i="18" s="1"/>
  <c r="A124" i="18" s="1"/>
  <c r="A125" i="18" s="1"/>
  <c r="A132" i="18" s="1"/>
  <c r="A133" i="18" s="1"/>
  <c r="A134" i="18" s="1"/>
  <c r="A135" i="18" s="1"/>
  <c r="A136" i="18" s="1"/>
  <c r="A142" i="18" s="1"/>
  <c r="A143" i="18" s="1"/>
  <c r="A144" i="18" s="1"/>
  <c r="A147" i="18" s="1"/>
  <c r="A148" i="18" s="1"/>
  <c r="A150" i="18" s="1"/>
  <c r="A151" i="18" s="1"/>
  <c r="A154" i="18" s="1"/>
  <c r="A155" i="18" s="1"/>
  <c r="A162" i="18" s="1"/>
  <c r="J22" i="18"/>
  <c r="F147" i="18"/>
  <c r="E147" i="18"/>
  <c r="D147" i="18"/>
  <c r="C147" i="18"/>
  <c r="B147" i="18"/>
  <c r="AA147" i="18" l="1"/>
  <c r="U147" i="18"/>
  <c r="O147" i="18"/>
  <c r="I147" i="18"/>
  <c r="I565" i="2" l="1"/>
  <c r="I564" i="2"/>
  <c r="I563" i="2"/>
  <c r="I562" i="2"/>
  <c r="I561" i="2"/>
  <c r="I566" i="2" s="1"/>
  <c r="C4" i="18"/>
  <c r="C152" i="18"/>
  <c r="C70" i="18"/>
  <c r="B162" i="18"/>
  <c r="D162" i="18"/>
  <c r="C161" i="18"/>
  <c r="D121" i="18"/>
  <c r="B133" i="18"/>
  <c r="C27" i="18"/>
  <c r="C81" i="18"/>
  <c r="B37" i="18"/>
  <c r="D36" i="18"/>
  <c r="E101" i="18"/>
  <c r="C162" i="18"/>
  <c r="C37" i="18"/>
  <c r="B79" i="18"/>
  <c r="B129" i="18"/>
  <c r="E32" i="18"/>
  <c r="D103" i="18"/>
  <c r="B88" i="18"/>
  <c r="C151" i="18"/>
  <c r="C30" i="18"/>
  <c r="B32" i="18"/>
  <c r="E73" i="18"/>
  <c r="D51" i="18"/>
  <c r="F77" i="18"/>
  <c r="C118" i="18"/>
  <c r="C57" i="18"/>
  <c r="C114" i="18"/>
  <c r="C65" i="18"/>
  <c r="E43" i="18"/>
  <c r="C33" i="18"/>
  <c r="B69" i="18"/>
  <c r="B117" i="18"/>
  <c r="D125" i="18"/>
  <c r="B77" i="18"/>
  <c r="C99" i="18"/>
  <c r="B21" i="18"/>
  <c r="B116" i="18"/>
  <c r="D97" i="18"/>
  <c r="C116" i="18"/>
  <c r="D104" i="18"/>
  <c r="B10" i="18"/>
  <c r="C113" i="18"/>
  <c r="C42" i="18"/>
  <c r="D116" i="18"/>
  <c r="C56" i="18"/>
  <c r="D83" i="18"/>
  <c r="E38" i="18"/>
  <c r="D155" i="18"/>
  <c r="D30" i="18"/>
  <c r="B124" i="18"/>
  <c r="B62" i="18"/>
  <c r="B114" i="18"/>
  <c r="C119" i="18"/>
  <c r="B102" i="18"/>
  <c r="E80" i="18"/>
  <c r="B123" i="18"/>
  <c r="C68" i="18"/>
  <c r="C19" i="18"/>
  <c r="C101" i="18"/>
  <c r="F79" i="18"/>
  <c r="C77" i="18"/>
  <c r="F142" i="18"/>
  <c r="B43" i="18"/>
  <c r="C129" i="18"/>
  <c r="C76" i="18"/>
  <c r="F37" i="18"/>
  <c r="E77" i="18"/>
  <c r="C43" i="18"/>
  <c r="B42" i="18"/>
  <c r="F29" i="18"/>
  <c r="F135" i="18"/>
  <c r="B144" i="18"/>
  <c r="C108" i="18"/>
  <c r="B17" i="18"/>
  <c r="D79" i="18"/>
  <c r="B67" i="18"/>
  <c r="E84" i="18"/>
  <c r="E125" i="18"/>
  <c r="B25" i="18"/>
  <c r="E67" i="18"/>
  <c r="B82" i="18"/>
  <c r="D72" i="18"/>
  <c r="F143" i="18"/>
  <c r="B76" i="18"/>
  <c r="E41" i="18"/>
  <c r="B49" i="18"/>
  <c r="C103" i="18"/>
  <c r="F36" i="18"/>
  <c r="B125" i="18"/>
  <c r="B41" i="18"/>
  <c r="C74" i="18"/>
  <c r="B30" i="18"/>
  <c r="D67" i="18"/>
  <c r="B152" i="18"/>
  <c r="F74" i="18"/>
  <c r="D134" i="18"/>
  <c r="E85" i="18"/>
  <c r="E66" i="18"/>
  <c r="C15" i="18"/>
  <c r="D40" i="18"/>
  <c r="B96" i="18"/>
  <c r="C41" i="18"/>
  <c r="B83" i="18"/>
  <c r="E124" i="18"/>
  <c r="C78" i="18"/>
  <c r="F85" i="18"/>
  <c r="B78" i="18"/>
  <c r="D33" i="18"/>
  <c r="B81" i="18"/>
  <c r="E76" i="18"/>
  <c r="C141" i="18"/>
  <c r="B11" i="18"/>
  <c r="B136" i="18"/>
  <c r="C131" i="18"/>
  <c r="B154" i="18"/>
  <c r="C132" i="18"/>
  <c r="E37" i="18"/>
  <c r="B118" i="18"/>
  <c r="E65" i="18"/>
  <c r="D148" i="18"/>
  <c r="F51" i="18"/>
  <c r="B107" i="18"/>
  <c r="D38" i="18"/>
  <c r="F42" i="18"/>
  <c r="C121" i="18"/>
  <c r="C142" i="18"/>
  <c r="D143" i="18"/>
  <c r="D117" i="18"/>
  <c r="C88" i="18"/>
  <c r="C104" i="18"/>
  <c r="B13" i="18"/>
  <c r="C83" i="18"/>
  <c r="B19" i="18"/>
  <c r="B130" i="18"/>
  <c r="E78" i="18"/>
  <c r="B145" i="18"/>
  <c r="B55" i="18"/>
  <c r="B40" i="18"/>
  <c r="F80" i="18"/>
  <c r="C14" i="18"/>
  <c r="E83" i="18"/>
  <c r="E100" i="18"/>
  <c r="D108" i="18"/>
  <c r="C89" i="18"/>
  <c r="B105" i="18"/>
  <c r="B15" i="18"/>
  <c r="B155" i="18"/>
  <c r="B108" i="18"/>
  <c r="D78" i="18"/>
  <c r="C143" i="18"/>
  <c r="D85" i="18"/>
  <c r="B29" i="18"/>
  <c r="B132" i="18"/>
  <c r="C159" i="18"/>
  <c r="C94" i="18"/>
  <c r="E150" i="18"/>
  <c r="B36" i="18"/>
  <c r="C63" i="18"/>
  <c r="F28" i="18"/>
  <c r="B113" i="18"/>
  <c r="D43" i="18"/>
  <c r="C72" i="18"/>
  <c r="C13" i="18"/>
  <c r="B151" i="18"/>
  <c r="C150" i="18"/>
  <c r="F144" i="18"/>
  <c r="C149" i="18"/>
  <c r="C26" i="18"/>
  <c r="E136" i="18"/>
  <c r="F84" i="18"/>
  <c r="B89" i="18"/>
  <c r="E29" i="18"/>
  <c r="C134" i="18"/>
  <c r="C105" i="18"/>
  <c r="C82" i="18"/>
  <c r="B84" i="18"/>
  <c r="B72" i="18"/>
  <c r="B106" i="18"/>
  <c r="B14" i="18"/>
  <c r="C69" i="18"/>
  <c r="D76" i="18"/>
  <c r="E162" i="18"/>
  <c r="C20" i="18"/>
  <c r="F34" i="18"/>
  <c r="E151" i="18"/>
  <c r="E105" i="18"/>
  <c r="C100" i="18"/>
  <c r="C40" i="18"/>
  <c r="C25" i="18"/>
  <c r="B18" i="18"/>
  <c r="B120" i="18"/>
  <c r="E154" i="18"/>
  <c r="C102" i="18"/>
  <c r="C155" i="18"/>
  <c r="C124" i="18"/>
  <c r="F33" i="18"/>
  <c r="F73" i="18"/>
  <c r="B101" i="18"/>
  <c r="B143" i="18"/>
  <c r="F41" i="18"/>
  <c r="C97" i="18"/>
  <c r="B33" i="18"/>
  <c r="E98" i="18"/>
  <c r="D34" i="18"/>
  <c r="B26" i="18"/>
  <c r="F89" i="18"/>
  <c r="E90" i="18"/>
  <c r="F43" i="18"/>
  <c r="C115" i="18"/>
  <c r="C86" i="18"/>
  <c r="B28" i="18"/>
  <c r="C154" i="18"/>
  <c r="C120" i="18"/>
  <c r="C36" i="18"/>
  <c r="B140" i="18"/>
  <c r="C21" i="18"/>
  <c r="C17" i="18"/>
  <c r="C18" i="18"/>
  <c r="B20" i="18"/>
  <c r="B56" i="18"/>
  <c r="F76" i="18"/>
  <c r="C153" i="18"/>
  <c r="B66" i="18"/>
  <c r="D151" i="18"/>
  <c r="E82" i="18"/>
  <c r="B68" i="18"/>
  <c r="E144" i="18"/>
  <c r="C140" i="18"/>
  <c r="C96" i="18"/>
  <c r="E27" i="18"/>
  <c r="B153" i="18"/>
  <c r="C16" i="18"/>
  <c r="C58" i="18"/>
  <c r="B148" i="18"/>
  <c r="B31" i="18"/>
  <c r="C48" i="18"/>
  <c r="D124" i="18"/>
  <c r="C122" i="18"/>
  <c r="D29" i="18"/>
  <c r="B161" i="18"/>
  <c r="B104" i="18"/>
  <c r="B149" i="18"/>
  <c r="E28" i="18"/>
  <c r="E117" i="18"/>
  <c r="C90" i="18"/>
  <c r="D135" i="18"/>
  <c r="C39" i="18"/>
  <c r="F72" i="18"/>
  <c r="E88" i="18"/>
  <c r="B65" i="18"/>
  <c r="C123" i="18"/>
  <c r="C51" i="18"/>
  <c r="C67" i="18"/>
  <c r="D80" i="18"/>
  <c r="F88" i="18"/>
  <c r="C98" i="18"/>
  <c r="D136" i="18"/>
  <c r="C80" i="18"/>
  <c r="D105" i="18"/>
  <c r="F125" i="18"/>
  <c r="E133" i="18"/>
  <c r="F30" i="18"/>
  <c r="D98" i="18"/>
  <c r="B50" i="18"/>
  <c r="C55" i="18"/>
  <c r="C144" i="18"/>
  <c r="E104" i="18"/>
  <c r="C38" i="18"/>
  <c r="D132" i="18"/>
  <c r="C34" i="18"/>
  <c r="B35" i="18"/>
  <c r="D150" i="18"/>
  <c r="D77" i="18"/>
  <c r="E103" i="18"/>
  <c r="E120" i="18"/>
  <c r="F27" i="18"/>
  <c r="B99" i="18"/>
  <c r="E34" i="18"/>
  <c r="C49" i="18"/>
  <c r="C12" i="18"/>
  <c r="D37" i="18"/>
  <c r="B100" i="18"/>
  <c r="B63" i="18"/>
  <c r="C125" i="18"/>
  <c r="B142" i="18"/>
  <c r="B16" i="18"/>
  <c r="E33" i="18"/>
  <c r="C84" i="18"/>
  <c r="B86" i="18"/>
  <c r="B115" i="18"/>
  <c r="C32" i="18"/>
  <c r="B58" i="18"/>
  <c r="E42" i="18"/>
  <c r="D120" i="18"/>
  <c r="E30" i="18"/>
  <c r="C66" i="18"/>
  <c r="C35" i="18"/>
  <c r="D84" i="18"/>
  <c r="B146" i="18"/>
  <c r="C107" i="18"/>
  <c r="D107" i="18"/>
  <c r="B135" i="18"/>
  <c r="C148" i="18"/>
  <c r="C62" i="18"/>
  <c r="C75" i="18"/>
  <c r="C64" i="18"/>
  <c r="C11" i="18"/>
  <c r="D90" i="18"/>
  <c r="C106" i="18"/>
  <c r="E143" i="18"/>
  <c r="C50" i="18"/>
  <c r="D89" i="18"/>
  <c r="C47" i="18"/>
  <c r="F90" i="18"/>
  <c r="B131" i="18"/>
  <c r="B73" i="18"/>
  <c r="B70" i="18"/>
  <c r="B122" i="18"/>
  <c r="C133" i="18"/>
  <c r="F78" i="18"/>
  <c r="E79" i="18"/>
  <c r="E135" i="18"/>
  <c r="B38" i="18"/>
  <c r="D82" i="18"/>
  <c r="E72" i="18"/>
  <c r="D28" i="18"/>
  <c r="B160" i="18"/>
  <c r="D100" i="18"/>
  <c r="B109" i="18"/>
  <c r="D144" i="18"/>
  <c r="B51" i="18"/>
  <c r="E122" i="18"/>
  <c r="B71" i="18"/>
  <c r="E31" i="18"/>
  <c r="B80" i="18"/>
  <c r="E121" i="18"/>
  <c r="B34" i="18"/>
  <c r="C117" i="18"/>
  <c r="B134" i="18"/>
  <c r="B39" i="18"/>
  <c r="F58" i="18"/>
  <c r="D142" i="18"/>
  <c r="D66" i="18"/>
  <c r="F31" i="18"/>
  <c r="B57" i="18"/>
  <c r="E116" i="18"/>
  <c r="B47" i="18"/>
  <c r="E36" i="18"/>
  <c r="E74" i="18"/>
  <c r="E134" i="18"/>
  <c r="D101" i="18"/>
  <c r="D74" i="18"/>
  <c r="D154" i="18"/>
  <c r="D73" i="18"/>
  <c r="E107" i="18"/>
  <c r="D65" i="18"/>
  <c r="C160" i="18"/>
  <c r="D109" i="18"/>
  <c r="C71" i="18"/>
  <c r="D70" i="18"/>
  <c r="B87" i="18"/>
  <c r="C28" i="18"/>
  <c r="B98" i="18"/>
  <c r="D133" i="18"/>
  <c r="D41" i="18"/>
  <c r="F57" i="18"/>
  <c r="F66" i="18"/>
  <c r="E132" i="18"/>
  <c r="E97" i="18"/>
  <c r="C145" i="18"/>
  <c r="B27" i="18"/>
  <c r="D88" i="18"/>
  <c r="B74" i="18"/>
  <c r="C29" i="18"/>
  <c r="D68" i="18"/>
  <c r="C73" i="18"/>
  <c r="B85" i="18"/>
  <c r="F40" i="18"/>
  <c r="E148" i="18"/>
  <c r="C109" i="18"/>
  <c r="D31" i="18"/>
  <c r="D27" i="18"/>
  <c r="B150" i="18"/>
  <c r="D32" i="18"/>
  <c r="D122" i="18"/>
  <c r="E70" i="18"/>
  <c r="C136" i="18"/>
  <c r="B12" i="18"/>
  <c r="E89" i="18"/>
  <c r="D57" i="18"/>
  <c r="E68" i="18"/>
  <c r="C31" i="18"/>
  <c r="B48" i="18"/>
  <c r="B64" i="18"/>
  <c r="B75" i="18"/>
  <c r="B95" i="18"/>
  <c r="B141" i="18"/>
  <c r="B97" i="18"/>
  <c r="F32" i="18"/>
  <c r="E155" i="18"/>
  <c r="E142" i="18"/>
  <c r="B103" i="18"/>
  <c r="F83" i="18"/>
  <c r="C85" i="18"/>
  <c r="C95" i="18"/>
  <c r="E58" i="18"/>
  <c r="B94" i="18"/>
  <c r="E57" i="18"/>
  <c r="E109" i="18"/>
  <c r="C79" i="18"/>
  <c r="C10" i="18"/>
  <c r="C87" i="18"/>
  <c r="D42" i="18"/>
  <c r="E108" i="18"/>
  <c r="E40" i="18"/>
  <c r="B90" i="18"/>
  <c r="D58" i="18"/>
  <c r="C130" i="18"/>
  <c r="B159" i="18"/>
  <c r="F38" i="18"/>
  <c r="C146" i="18"/>
  <c r="B119" i="18"/>
  <c r="E51" i="18"/>
  <c r="C135" i="18"/>
  <c r="B121" i="18"/>
  <c r="AA58" i="18" l="1"/>
  <c r="O58" i="18"/>
  <c r="U58" i="18"/>
  <c r="AA42" i="18"/>
  <c r="O42" i="18"/>
  <c r="U42" i="18"/>
  <c r="AA57" i="18"/>
  <c r="O57" i="18"/>
  <c r="U57" i="18"/>
  <c r="AA32" i="18"/>
  <c r="U32" i="18"/>
  <c r="O32" i="18"/>
  <c r="AA27" i="18"/>
  <c r="U27" i="18"/>
  <c r="O27" i="18"/>
  <c r="U31" i="18"/>
  <c r="AA31" i="18"/>
  <c r="O31" i="18"/>
  <c r="AA88" i="18"/>
  <c r="O88" i="18"/>
  <c r="U88" i="18"/>
  <c r="AA41" i="18"/>
  <c r="O41" i="18"/>
  <c r="U41" i="18"/>
  <c r="AA73" i="18"/>
  <c r="O73" i="18"/>
  <c r="U73" i="18"/>
  <c r="AA74" i="18"/>
  <c r="O74" i="18"/>
  <c r="U74" i="18"/>
  <c r="AA66" i="18"/>
  <c r="O66" i="18"/>
  <c r="U66" i="18"/>
  <c r="AA142" i="18"/>
  <c r="O142" i="18"/>
  <c r="U142" i="18"/>
  <c r="AA144" i="18"/>
  <c r="U144" i="18"/>
  <c r="O144" i="18"/>
  <c r="O28" i="18"/>
  <c r="AA28" i="18"/>
  <c r="U28" i="18"/>
  <c r="AA89" i="18"/>
  <c r="O89" i="18"/>
  <c r="U89" i="18"/>
  <c r="AA90" i="18"/>
  <c r="O90" i="18"/>
  <c r="U90" i="18"/>
  <c r="AA84" i="18"/>
  <c r="U84" i="18"/>
  <c r="O84" i="18"/>
  <c r="AA37" i="18"/>
  <c r="U37" i="18"/>
  <c r="O37" i="18"/>
  <c r="AA77" i="18"/>
  <c r="U77" i="18"/>
  <c r="O77" i="18"/>
  <c r="U80" i="18"/>
  <c r="AA80" i="18"/>
  <c r="O80" i="18"/>
  <c r="AA135" i="18"/>
  <c r="U135" i="18"/>
  <c r="O135" i="18"/>
  <c r="AA29" i="18"/>
  <c r="O29" i="18"/>
  <c r="U29" i="18"/>
  <c r="AA151" i="18"/>
  <c r="U151" i="18"/>
  <c r="O151" i="18"/>
  <c r="AA34" i="18"/>
  <c r="U34" i="18"/>
  <c r="O34" i="18"/>
  <c r="O76" i="18"/>
  <c r="AA76" i="18"/>
  <c r="U76" i="18"/>
  <c r="AA43" i="18"/>
  <c r="O43" i="18"/>
  <c r="U43" i="18"/>
  <c r="AA85" i="18"/>
  <c r="U85" i="18"/>
  <c r="O85" i="18"/>
  <c r="U78" i="18"/>
  <c r="AA78" i="18"/>
  <c r="O78" i="18"/>
  <c r="AA143" i="18"/>
  <c r="U143" i="18"/>
  <c r="O143" i="18"/>
  <c r="AA38" i="18"/>
  <c r="O38" i="18"/>
  <c r="U38" i="18"/>
  <c r="AA148" i="18"/>
  <c r="U148" i="18"/>
  <c r="O148" i="18"/>
  <c r="U33" i="18"/>
  <c r="AA33" i="18"/>
  <c r="O33" i="18"/>
  <c r="AA40" i="18"/>
  <c r="O40" i="18"/>
  <c r="U40" i="18"/>
  <c r="AA72" i="18"/>
  <c r="O72" i="18"/>
  <c r="U72" i="18"/>
  <c r="U79" i="18"/>
  <c r="AA79" i="18"/>
  <c r="O79" i="18"/>
  <c r="AA30" i="18"/>
  <c r="U30" i="18"/>
  <c r="O30" i="18"/>
  <c r="AA83" i="18"/>
  <c r="U83" i="18"/>
  <c r="O83" i="18"/>
  <c r="AA125" i="18"/>
  <c r="O125" i="18"/>
  <c r="U125" i="18"/>
  <c r="AA51" i="18"/>
  <c r="O51" i="18"/>
  <c r="U51" i="18"/>
  <c r="AA36" i="18"/>
  <c r="U36" i="18"/>
  <c r="O36" i="18"/>
  <c r="AA162" i="18"/>
  <c r="U162" i="18"/>
  <c r="O162" i="18"/>
  <c r="I27" i="18"/>
  <c r="I28" i="18"/>
  <c r="I29" i="18"/>
  <c r="I30" i="18"/>
  <c r="I31" i="18"/>
  <c r="I32" i="18"/>
  <c r="I33" i="18"/>
  <c r="I34" i="18"/>
  <c r="I36" i="18"/>
  <c r="I37" i="18"/>
  <c r="I38" i="18"/>
  <c r="I40" i="18"/>
  <c r="I41" i="18"/>
  <c r="I42" i="18"/>
  <c r="I43" i="18"/>
  <c r="I51" i="18"/>
  <c r="J52" i="18" s="1"/>
  <c r="I57" i="18"/>
  <c r="I58" i="18"/>
  <c r="I66" i="18"/>
  <c r="I72" i="18"/>
  <c r="I73" i="18"/>
  <c r="I74" i="18"/>
  <c r="I76" i="18"/>
  <c r="I77" i="18"/>
  <c r="I78" i="18"/>
  <c r="I79" i="18"/>
  <c r="I80" i="18"/>
  <c r="I83" i="18"/>
  <c r="I84" i="18"/>
  <c r="I85" i="18"/>
  <c r="I88" i="18"/>
  <c r="I89" i="18"/>
  <c r="I90" i="18"/>
  <c r="I125" i="18"/>
  <c r="I135" i="18"/>
  <c r="I142" i="18"/>
  <c r="I143" i="18"/>
  <c r="I144" i="18"/>
  <c r="J59" i="18" l="1"/>
  <c r="J44" i="18"/>
  <c r="I598" i="2"/>
  <c r="I597" i="2"/>
  <c r="I596" i="2"/>
  <c r="I595" i="2"/>
  <c r="I594" i="2"/>
  <c r="I575" i="2"/>
  <c r="I574" i="2"/>
  <c r="I573" i="2"/>
  <c r="I572" i="2"/>
  <c r="I571" i="2"/>
  <c r="I499" i="2"/>
  <c r="I498" i="2"/>
  <c r="I497" i="2"/>
  <c r="I496" i="2"/>
  <c r="I495" i="2"/>
  <c r="I330" i="2"/>
  <c r="I599" i="2" l="1"/>
  <c r="I576" i="2"/>
  <c r="I500" i="2"/>
  <c r="F151" i="18"/>
  <c r="F148" i="18"/>
  <c r="F132" i="18"/>
  <c r="AA132" i="18" l="1"/>
  <c r="O132" i="18"/>
  <c r="U132" i="18"/>
  <c r="I148" i="18"/>
  <c r="I132" i="18"/>
  <c r="I151" i="18"/>
  <c r="I326" i="2"/>
  <c r="I325" i="2"/>
  <c r="I324" i="2"/>
  <c r="I323" i="2"/>
  <c r="I624" i="2" l="1"/>
  <c r="I623" i="2"/>
  <c r="I622" i="2"/>
  <c r="I621" i="2"/>
  <c r="I620" i="2"/>
  <c r="I614" i="2"/>
  <c r="I613" i="2"/>
  <c r="I612" i="2"/>
  <c r="I611" i="2"/>
  <c r="I610" i="2"/>
  <c r="I625" i="2" l="1"/>
  <c r="I615" i="2"/>
  <c r="F155" i="18"/>
  <c r="F154" i="18"/>
  <c r="AA154" i="18" l="1"/>
  <c r="O154" i="18"/>
  <c r="U154" i="18"/>
  <c r="AA155" i="18"/>
  <c r="O155" i="18"/>
  <c r="U155" i="18"/>
  <c r="I154" i="18"/>
  <c r="I155" i="18"/>
  <c r="I640" i="2"/>
  <c r="I641" i="2"/>
  <c r="I639" i="2"/>
  <c r="I585" i="2"/>
  <c r="I586" i="2"/>
  <c r="I587" i="2"/>
  <c r="I588" i="2"/>
  <c r="I584" i="2"/>
  <c r="I528" i="2"/>
  <c r="I529" i="2"/>
  <c r="I530" i="2"/>
  <c r="I531" i="2"/>
  <c r="I527" i="2"/>
  <c r="I514" i="2"/>
  <c r="I515" i="2"/>
  <c r="I516" i="2"/>
  <c r="I517" i="2"/>
  <c r="I513" i="2"/>
  <c r="I506" i="2"/>
  <c r="I507" i="2"/>
  <c r="I505" i="2"/>
  <c r="I473" i="2"/>
  <c r="I474" i="2"/>
  <c r="I475" i="2"/>
  <c r="I476" i="2"/>
  <c r="I472" i="2"/>
  <c r="I460" i="2"/>
  <c r="I461" i="2"/>
  <c r="I462" i="2"/>
  <c r="I463" i="2"/>
  <c r="I459" i="2"/>
  <c r="I450" i="2"/>
  <c r="I451" i="2"/>
  <c r="I452" i="2"/>
  <c r="I453" i="2"/>
  <c r="I449" i="2"/>
  <c r="I440" i="2"/>
  <c r="I441" i="2"/>
  <c r="I442" i="2"/>
  <c r="I443" i="2"/>
  <c r="I439" i="2"/>
  <c r="I424" i="2"/>
  <c r="I425" i="2"/>
  <c r="I426" i="2"/>
  <c r="I427" i="2"/>
  <c r="I423" i="2"/>
  <c r="I414" i="2"/>
  <c r="I415" i="2"/>
  <c r="I416" i="2"/>
  <c r="I417" i="2"/>
  <c r="I413" i="2"/>
  <c r="I395" i="2"/>
  <c r="I396" i="2"/>
  <c r="I397" i="2"/>
  <c r="I398" i="2"/>
  <c r="I394" i="2"/>
  <c r="I385" i="2"/>
  <c r="I386" i="2"/>
  <c r="I387" i="2"/>
  <c r="I388" i="2"/>
  <c r="I384" i="2"/>
  <c r="I375" i="2"/>
  <c r="I376" i="2"/>
  <c r="I377" i="2"/>
  <c r="I378" i="2"/>
  <c r="I374" i="2"/>
  <c r="I362" i="2"/>
  <c r="I363" i="2"/>
  <c r="I364" i="2"/>
  <c r="I365" i="2"/>
  <c r="I361" i="2"/>
  <c r="I352" i="2"/>
  <c r="I353" i="2"/>
  <c r="I354" i="2"/>
  <c r="I355" i="2"/>
  <c r="I351" i="2"/>
  <c r="I342" i="2"/>
  <c r="I343" i="2"/>
  <c r="I344" i="2"/>
  <c r="I345" i="2"/>
  <c r="I341" i="2"/>
  <c r="I328" i="2"/>
  <c r="I329" i="2"/>
  <c r="I331" i="2"/>
  <c r="I332" i="2"/>
  <c r="I327" i="2"/>
  <c r="I316" i="2"/>
  <c r="I317" i="2"/>
  <c r="I315" i="2"/>
  <c r="I303" i="2"/>
  <c r="I304" i="2"/>
  <c r="I305" i="2"/>
  <c r="I306" i="2"/>
  <c r="I302" i="2"/>
  <c r="I294" i="2"/>
  <c r="I295" i="2"/>
  <c r="I296" i="2"/>
  <c r="I297" i="2"/>
  <c r="I293" i="2"/>
  <c r="I245" i="2"/>
  <c r="I246" i="2"/>
  <c r="I247" i="2"/>
  <c r="I248" i="2"/>
  <c r="I244" i="2"/>
  <c r="I195" i="2"/>
  <c r="I196" i="2"/>
  <c r="I197" i="2"/>
  <c r="I194" i="2"/>
  <c r="I184" i="2"/>
  <c r="I185" i="2"/>
  <c r="I183" i="2"/>
  <c r="I174" i="2"/>
  <c r="I175" i="2"/>
  <c r="I176" i="2"/>
  <c r="I177" i="2"/>
  <c r="I173" i="2"/>
  <c r="I160" i="2"/>
  <c r="I161" i="2"/>
  <c r="I162" i="2"/>
  <c r="I163" i="2"/>
  <c r="I159" i="2"/>
  <c r="I333" i="2" l="1"/>
  <c r="I477" i="2"/>
  <c r="I642" i="2"/>
  <c r="I307" i="2"/>
  <c r="I444" i="2"/>
  <c r="I186" i="2"/>
  <c r="I454" i="2"/>
  <c r="I346" i="2"/>
  <c r="I399" i="2"/>
  <c r="I356" i="2"/>
  <c r="I198" i="2"/>
  <c r="I178" i="2"/>
  <c r="I318" i="2"/>
  <c r="I164" i="2"/>
  <c r="I589" i="2"/>
  <c r="I418" i="2"/>
  <c r="I428" i="2"/>
  <c r="I532" i="2"/>
  <c r="I298" i="2"/>
  <c r="I389" i="2"/>
  <c r="I249" i="2"/>
  <c r="I508" i="2"/>
  <c r="I518" i="2"/>
  <c r="I366" i="2"/>
  <c r="I379" i="2"/>
  <c r="I464" i="2"/>
  <c r="F82" i="18"/>
  <c r="F116" i="18"/>
  <c r="F70" i="18"/>
  <c r="F107" i="18"/>
  <c r="F67" i="18"/>
  <c r="F104" i="18"/>
  <c r="F124" i="18"/>
  <c r="F122" i="18"/>
  <c r="F105" i="18"/>
  <c r="F133" i="18"/>
  <c r="F68" i="18"/>
  <c r="F98" i="18"/>
  <c r="F103" i="18"/>
  <c r="F121" i="18"/>
  <c r="F162" i="18"/>
  <c r="F136" i="18"/>
  <c r="F109" i="18"/>
  <c r="F108" i="18"/>
  <c r="F97" i="18"/>
  <c r="F101" i="18"/>
  <c r="F120" i="18"/>
  <c r="F65" i="18"/>
  <c r="F150" i="18"/>
  <c r="F100" i="18"/>
  <c r="F134" i="18"/>
  <c r="F117" i="18"/>
  <c r="AA117" i="18" l="1"/>
  <c r="U117" i="18"/>
  <c r="O117" i="18"/>
  <c r="AA134" i="18"/>
  <c r="U134" i="18"/>
  <c r="O134" i="18"/>
  <c r="U100" i="18"/>
  <c r="O100" i="18"/>
  <c r="AA100" i="18"/>
  <c r="O150" i="18"/>
  <c r="AA150" i="18"/>
  <c r="U150" i="18"/>
  <c r="AA65" i="18"/>
  <c r="U65" i="18"/>
  <c r="O65" i="18"/>
  <c r="AA120" i="18"/>
  <c r="O120" i="18"/>
  <c r="U120" i="18"/>
  <c r="AA101" i="18"/>
  <c r="U101" i="18"/>
  <c r="O101" i="18"/>
  <c r="U97" i="18"/>
  <c r="AA97" i="18"/>
  <c r="O97" i="18"/>
  <c r="AA109" i="18"/>
  <c r="U109" i="18"/>
  <c r="O109" i="18"/>
  <c r="AA136" i="18"/>
  <c r="O136" i="18"/>
  <c r="U136" i="18"/>
  <c r="AA121" i="18"/>
  <c r="O121" i="18"/>
  <c r="U121" i="18"/>
  <c r="AA103" i="18"/>
  <c r="O103" i="18"/>
  <c r="U103" i="18"/>
  <c r="AA98" i="18"/>
  <c r="U98" i="18"/>
  <c r="O98" i="18"/>
  <c r="AA68" i="18"/>
  <c r="U68" i="18"/>
  <c r="O68" i="18"/>
  <c r="U133" i="18"/>
  <c r="AA133" i="18"/>
  <c r="O133" i="18"/>
  <c r="AA105" i="18"/>
  <c r="O105" i="18"/>
  <c r="U105" i="18"/>
  <c r="AA122" i="18"/>
  <c r="O122" i="18"/>
  <c r="U122" i="18"/>
  <c r="AA104" i="18"/>
  <c r="U104" i="18"/>
  <c r="O104" i="18"/>
  <c r="AA67" i="18"/>
  <c r="U67" i="18"/>
  <c r="O67" i="18"/>
  <c r="U107" i="18"/>
  <c r="AA107" i="18"/>
  <c r="O107" i="18"/>
  <c r="O70" i="18"/>
  <c r="AA70" i="18"/>
  <c r="U70" i="18"/>
  <c r="O116" i="18"/>
  <c r="U116" i="18"/>
  <c r="AA116" i="18"/>
  <c r="AA82" i="18"/>
  <c r="U82" i="18"/>
  <c r="O82" i="18"/>
  <c r="O124" i="18"/>
  <c r="AA124" i="18"/>
  <c r="U124" i="18"/>
  <c r="AA108" i="18"/>
  <c r="U108" i="18"/>
  <c r="O108" i="18"/>
  <c r="I65" i="18"/>
  <c r="I121" i="18"/>
  <c r="I82" i="18"/>
  <c r="I120" i="18"/>
  <c r="I98" i="18"/>
  <c r="I133" i="18"/>
  <c r="I108" i="18"/>
  <c r="I122" i="18"/>
  <c r="I136" i="18"/>
  <c r="I104" i="18"/>
  <c r="I162" i="18"/>
  <c r="J163" i="18" s="1"/>
  <c r="I150" i="18"/>
  <c r="J156" i="18" s="1"/>
  <c r="I68" i="18"/>
  <c r="I97" i="18"/>
  <c r="I107" i="18"/>
  <c r="I117" i="18"/>
  <c r="I109" i="18"/>
  <c r="I124" i="18"/>
  <c r="I134" i="18"/>
  <c r="I100" i="18"/>
  <c r="I67" i="18"/>
  <c r="I70" i="18"/>
  <c r="I105" i="18"/>
  <c r="I116" i="18"/>
  <c r="I103" i="18"/>
  <c r="I101" i="18"/>
  <c r="U164" i="18" l="1"/>
  <c r="O164" i="18"/>
  <c r="AA164" i="18"/>
  <c r="I164" i="18"/>
  <c r="I166" i="18" s="1"/>
  <c r="I168" i="18" s="1"/>
  <c r="J137" i="18"/>
  <c r="J126" i="18"/>
  <c r="J110" i="18"/>
  <c r="J91" i="18"/>
  <c r="J164" i="18" l="1"/>
  <c r="J166" i="18" s="1"/>
  <c r="J168" i="18" s="1"/>
  <c r="AB14" i="18"/>
  <c r="AB30" i="18"/>
  <c r="AB46" i="18"/>
  <c r="AB62" i="18"/>
  <c r="AB78" i="18"/>
  <c r="AB94" i="18"/>
  <c r="AB110" i="18"/>
  <c r="AB126" i="18"/>
  <c r="AB142" i="18"/>
  <c r="AB158" i="18"/>
  <c r="AB15" i="18"/>
  <c r="AB31" i="18"/>
  <c r="AB47" i="18"/>
  <c r="AB63" i="18"/>
  <c r="AB79" i="18"/>
  <c r="AB95" i="18"/>
  <c r="AB111" i="18"/>
  <c r="AB127" i="18"/>
  <c r="AB143" i="18"/>
  <c r="AB159" i="18"/>
  <c r="AB16" i="18"/>
  <c r="AB32" i="18"/>
  <c r="AB48" i="18"/>
  <c r="AB64" i="18"/>
  <c r="AB80" i="18"/>
  <c r="AB96" i="18"/>
  <c r="AB112" i="18"/>
  <c r="AB128" i="18"/>
  <c r="AB144" i="18"/>
  <c r="AB160" i="18"/>
  <c r="AB43" i="18"/>
  <c r="AB13" i="18"/>
  <c r="AB109" i="18"/>
  <c r="AB17" i="18"/>
  <c r="AB33" i="18"/>
  <c r="AB49" i="18"/>
  <c r="AB65" i="18"/>
  <c r="AB81" i="18"/>
  <c r="AB97" i="18"/>
  <c r="AB113" i="18"/>
  <c r="AB129" i="18"/>
  <c r="AB145" i="18"/>
  <c r="AB161" i="18"/>
  <c r="AB61" i="18"/>
  <c r="AB18" i="18"/>
  <c r="AB34" i="18"/>
  <c r="AB50" i="18"/>
  <c r="AB66" i="18"/>
  <c r="AB82" i="18"/>
  <c r="AB98" i="18"/>
  <c r="AB114" i="18"/>
  <c r="AB130" i="18"/>
  <c r="AB146" i="18"/>
  <c r="AB162" i="18"/>
  <c r="AB27" i="18"/>
  <c r="AB91" i="18"/>
  <c r="AB139" i="18"/>
  <c r="AB19" i="18"/>
  <c r="AB35" i="18"/>
  <c r="AB51" i="18"/>
  <c r="AB67" i="18"/>
  <c r="AB83" i="18"/>
  <c r="AB99" i="18"/>
  <c r="AB115" i="18"/>
  <c r="AB131" i="18"/>
  <c r="AB147" i="18"/>
  <c r="AB163" i="18"/>
  <c r="AB155" i="18"/>
  <c r="AB157" i="18"/>
  <c r="AB20" i="18"/>
  <c r="AB36" i="18"/>
  <c r="AB52" i="18"/>
  <c r="AB68" i="18"/>
  <c r="AB84" i="18"/>
  <c r="AB100" i="18"/>
  <c r="AB116" i="18"/>
  <c r="AB132" i="18"/>
  <c r="AB148" i="18"/>
  <c r="AB45" i="18"/>
  <c r="AB93" i="18"/>
  <c r="AB21" i="18"/>
  <c r="AB37" i="18"/>
  <c r="AB53" i="18"/>
  <c r="AB69" i="18"/>
  <c r="AB85" i="18"/>
  <c r="AB101" i="18"/>
  <c r="AB117" i="18"/>
  <c r="AB133" i="18"/>
  <c r="AB149" i="18"/>
  <c r="AB11" i="18"/>
  <c r="AB22" i="18"/>
  <c r="AB38" i="18"/>
  <c r="AB54" i="18"/>
  <c r="AB70" i="18"/>
  <c r="AB86" i="18"/>
  <c r="AB102" i="18"/>
  <c r="AB118" i="18"/>
  <c r="AB134" i="18"/>
  <c r="AB150" i="18"/>
  <c r="AB123" i="18"/>
  <c r="AB23" i="18"/>
  <c r="AB39" i="18"/>
  <c r="AB55" i="18"/>
  <c r="AB71" i="18"/>
  <c r="AB87" i="18"/>
  <c r="AB103" i="18"/>
  <c r="AB119" i="18"/>
  <c r="AB135" i="18"/>
  <c r="AB151" i="18"/>
  <c r="AB29" i="18"/>
  <c r="AB24" i="18"/>
  <c r="AB40" i="18"/>
  <c r="AB56" i="18"/>
  <c r="AB72" i="18"/>
  <c r="AB88" i="18"/>
  <c r="AB104" i="18"/>
  <c r="AB120" i="18"/>
  <c r="AB136" i="18"/>
  <c r="AB152" i="18"/>
  <c r="AB75" i="18"/>
  <c r="AB141" i="18"/>
  <c r="AB9" i="18"/>
  <c r="AB25" i="18"/>
  <c r="AB41" i="18"/>
  <c r="AB57" i="18"/>
  <c r="AB73" i="18"/>
  <c r="AB89" i="18"/>
  <c r="AB105" i="18"/>
  <c r="AB121" i="18"/>
  <c r="AB137" i="18"/>
  <c r="AB153" i="18"/>
  <c r="AB59" i="18"/>
  <c r="AB107" i="18"/>
  <c r="AB10" i="18"/>
  <c r="AB26" i="18"/>
  <c r="AB42" i="18"/>
  <c r="AB58" i="18"/>
  <c r="AB74" i="18"/>
  <c r="AB90" i="18"/>
  <c r="AB106" i="18"/>
  <c r="AB122" i="18"/>
  <c r="AB138" i="18"/>
  <c r="AB154" i="18"/>
  <c r="AB125" i="18"/>
  <c r="AB12" i="18"/>
  <c r="AB28" i="18"/>
  <c r="AB44" i="18"/>
  <c r="AB60" i="18"/>
  <c r="AB76" i="18"/>
  <c r="AB92" i="18"/>
  <c r="AB108" i="18"/>
  <c r="AB124" i="18"/>
  <c r="AB140" i="18"/>
  <c r="AB156" i="18"/>
  <c r="AB77" i="18"/>
  <c r="V14" i="18"/>
  <c r="V30" i="18"/>
  <c r="V46" i="18"/>
  <c r="V62" i="18"/>
  <c r="V78" i="18"/>
  <c r="V94" i="18"/>
  <c r="V110" i="18"/>
  <c r="V126" i="18"/>
  <c r="V142" i="18"/>
  <c r="V158" i="18"/>
  <c r="V93" i="18"/>
  <c r="V15" i="18"/>
  <c r="V31" i="18"/>
  <c r="V47" i="18"/>
  <c r="V63" i="18"/>
  <c r="V79" i="18"/>
  <c r="V95" i="18"/>
  <c r="V111" i="18"/>
  <c r="V127" i="18"/>
  <c r="V143" i="18"/>
  <c r="V159" i="18"/>
  <c r="V121" i="18"/>
  <c r="V91" i="18"/>
  <c r="V13" i="18"/>
  <c r="V16" i="18"/>
  <c r="V32" i="18"/>
  <c r="V48" i="18"/>
  <c r="V64" i="18"/>
  <c r="V80" i="18"/>
  <c r="V96" i="18"/>
  <c r="V112" i="18"/>
  <c r="V128" i="18"/>
  <c r="V144" i="18"/>
  <c r="V160" i="18"/>
  <c r="V153" i="18"/>
  <c r="V28" i="18"/>
  <c r="V17" i="18"/>
  <c r="V33" i="18"/>
  <c r="V49" i="18"/>
  <c r="V65" i="18"/>
  <c r="V81" i="18"/>
  <c r="V97" i="18"/>
  <c r="V113" i="18"/>
  <c r="V129" i="18"/>
  <c r="V145" i="18"/>
  <c r="V161" i="18"/>
  <c r="V73" i="18"/>
  <c r="V92" i="18"/>
  <c r="V61" i="18"/>
  <c r="V18" i="18"/>
  <c r="V34" i="18"/>
  <c r="V50" i="18"/>
  <c r="V66" i="18"/>
  <c r="V82" i="18"/>
  <c r="V98" i="18"/>
  <c r="V114" i="18"/>
  <c r="V130" i="18"/>
  <c r="V146" i="18"/>
  <c r="V162" i="18"/>
  <c r="V57" i="18"/>
  <c r="V43" i="18"/>
  <c r="V155" i="18"/>
  <c r="V124" i="18"/>
  <c r="V19" i="18"/>
  <c r="V35" i="18"/>
  <c r="V51" i="18"/>
  <c r="V67" i="18"/>
  <c r="V83" i="18"/>
  <c r="V99" i="18"/>
  <c r="V115" i="18"/>
  <c r="V131" i="18"/>
  <c r="V147" i="18"/>
  <c r="V163" i="18"/>
  <c r="V9" i="18"/>
  <c r="V123" i="18"/>
  <c r="V60" i="18"/>
  <c r="V140" i="18"/>
  <c r="V29" i="18"/>
  <c r="V141" i="18"/>
  <c r="V20" i="18"/>
  <c r="V36" i="18"/>
  <c r="V52" i="18"/>
  <c r="V68" i="18"/>
  <c r="V84" i="18"/>
  <c r="V100" i="18"/>
  <c r="V116" i="18"/>
  <c r="V132" i="18"/>
  <c r="V148" i="18"/>
  <c r="V27" i="18"/>
  <c r="V12" i="18"/>
  <c r="V76" i="18"/>
  <c r="V156" i="18"/>
  <c r="V21" i="18"/>
  <c r="V37" i="18"/>
  <c r="V53" i="18"/>
  <c r="V69" i="18"/>
  <c r="V85" i="18"/>
  <c r="V101" i="18"/>
  <c r="V117" i="18"/>
  <c r="V133" i="18"/>
  <c r="V149" i="18"/>
  <c r="V137" i="18"/>
  <c r="V11" i="18"/>
  <c r="V75" i="18"/>
  <c r="V157" i="18"/>
  <c r="V22" i="18"/>
  <c r="V38" i="18"/>
  <c r="V54" i="18"/>
  <c r="V70" i="18"/>
  <c r="V86" i="18"/>
  <c r="V102" i="18"/>
  <c r="V118" i="18"/>
  <c r="V134" i="18"/>
  <c r="V150" i="18"/>
  <c r="V87" i="18"/>
  <c r="V103" i="18"/>
  <c r="V119" i="18"/>
  <c r="V135" i="18"/>
  <c r="V151" i="18"/>
  <c r="V25" i="18"/>
  <c r="V139" i="18"/>
  <c r="V44" i="18"/>
  <c r="V108" i="18"/>
  <c r="V45" i="18"/>
  <c r="V125" i="18"/>
  <c r="V23" i="18"/>
  <c r="V39" i="18"/>
  <c r="V55" i="18"/>
  <c r="V71" i="18"/>
  <c r="V107" i="18"/>
  <c r="V109" i="18"/>
  <c r="V24" i="18"/>
  <c r="V40" i="18"/>
  <c r="V56" i="18"/>
  <c r="V72" i="18"/>
  <c r="V88" i="18"/>
  <c r="V104" i="18"/>
  <c r="V120" i="18"/>
  <c r="V136" i="18"/>
  <c r="V152" i="18"/>
  <c r="V41" i="18"/>
  <c r="V105" i="18"/>
  <c r="V89" i="18"/>
  <c r="V77" i="18"/>
  <c r="V10" i="18"/>
  <c r="V26" i="18"/>
  <c r="V42" i="18"/>
  <c r="V58" i="18"/>
  <c r="V74" i="18"/>
  <c r="V90" i="18"/>
  <c r="V106" i="18"/>
  <c r="V122" i="18"/>
  <c r="V138" i="18"/>
  <c r="V154" i="18"/>
  <c r="V59" i="18"/>
  <c r="P14" i="18"/>
  <c r="P30" i="18"/>
  <c r="P46" i="18"/>
  <c r="P62" i="18"/>
  <c r="P78" i="18"/>
  <c r="P94" i="18"/>
  <c r="P110" i="18"/>
  <c r="P126" i="18"/>
  <c r="P142" i="18"/>
  <c r="P158" i="18"/>
  <c r="P15" i="18"/>
  <c r="P31" i="18"/>
  <c r="P47" i="18"/>
  <c r="P63" i="18"/>
  <c r="P79" i="18"/>
  <c r="P95" i="18"/>
  <c r="P111" i="18"/>
  <c r="P127" i="18"/>
  <c r="P143" i="18"/>
  <c r="P159" i="18"/>
  <c r="P11" i="18"/>
  <c r="P124" i="18"/>
  <c r="P16" i="18"/>
  <c r="P32" i="18"/>
  <c r="P48" i="18"/>
  <c r="P64" i="18"/>
  <c r="P80" i="18"/>
  <c r="P96" i="18"/>
  <c r="P112" i="18"/>
  <c r="P128" i="18"/>
  <c r="P144" i="18"/>
  <c r="P160" i="18"/>
  <c r="P17" i="18"/>
  <c r="P33" i="18"/>
  <c r="P49" i="18"/>
  <c r="P65" i="18"/>
  <c r="P81" i="18"/>
  <c r="P97" i="18"/>
  <c r="P113" i="18"/>
  <c r="P129" i="18"/>
  <c r="P145" i="18"/>
  <c r="P161" i="18"/>
  <c r="P44" i="18"/>
  <c r="P29" i="18"/>
  <c r="P77" i="18"/>
  <c r="P141" i="18"/>
  <c r="P18" i="18"/>
  <c r="P34" i="18"/>
  <c r="P50" i="18"/>
  <c r="P66" i="18"/>
  <c r="P82" i="18"/>
  <c r="P98" i="18"/>
  <c r="P114" i="18"/>
  <c r="P130" i="18"/>
  <c r="P146" i="18"/>
  <c r="P162" i="18"/>
  <c r="P76" i="18"/>
  <c r="P157" i="18"/>
  <c r="P19" i="18"/>
  <c r="P35" i="18"/>
  <c r="P51" i="18"/>
  <c r="P67" i="18"/>
  <c r="P83" i="18"/>
  <c r="P99" i="18"/>
  <c r="P115" i="18"/>
  <c r="P131" i="18"/>
  <c r="P147" i="18"/>
  <c r="P163" i="18"/>
  <c r="P12" i="18"/>
  <c r="P60" i="18"/>
  <c r="P108" i="18"/>
  <c r="P140" i="18"/>
  <c r="P61" i="18"/>
  <c r="P20" i="18"/>
  <c r="P36" i="18"/>
  <c r="P52" i="18"/>
  <c r="P68" i="18"/>
  <c r="P84" i="18"/>
  <c r="P100" i="18"/>
  <c r="P116" i="18"/>
  <c r="P132" i="18"/>
  <c r="P148" i="18"/>
  <c r="P123" i="18"/>
  <c r="P13" i="18"/>
  <c r="P109" i="18"/>
  <c r="P21" i="18"/>
  <c r="P37" i="18"/>
  <c r="P53" i="18"/>
  <c r="P69" i="18"/>
  <c r="P85" i="18"/>
  <c r="P101" i="18"/>
  <c r="P117" i="18"/>
  <c r="P133" i="18"/>
  <c r="P149" i="18"/>
  <c r="P92" i="18"/>
  <c r="P22" i="18"/>
  <c r="P38" i="18"/>
  <c r="P54" i="18"/>
  <c r="P70" i="18"/>
  <c r="P86" i="18"/>
  <c r="P102" i="18"/>
  <c r="P118" i="18"/>
  <c r="P134" i="18"/>
  <c r="P150" i="18"/>
  <c r="P28" i="18"/>
  <c r="P23" i="18"/>
  <c r="P39" i="18"/>
  <c r="P55" i="18"/>
  <c r="P71" i="18"/>
  <c r="P87" i="18"/>
  <c r="P103" i="18"/>
  <c r="P119" i="18"/>
  <c r="P135" i="18"/>
  <c r="P151" i="18"/>
  <c r="P24" i="18"/>
  <c r="P40" i="18"/>
  <c r="P56" i="18"/>
  <c r="P72" i="18"/>
  <c r="P88" i="18"/>
  <c r="P104" i="18"/>
  <c r="P120" i="18"/>
  <c r="P136" i="18"/>
  <c r="P152" i="18"/>
  <c r="P156" i="18"/>
  <c r="P45" i="18"/>
  <c r="P93" i="18"/>
  <c r="P125" i="18"/>
  <c r="P9" i="18"/>
  <c r="P25" i="18"/>
  <c r="P41" i="18"/>
  <c r="P57" i="18"/>
  <c r="P73" i="18"/>
  <c r="P89" i="18"/>
  <c r="P105" i="18"/>
  <c r="P121" i="18"/>
  <c r="P137" i="18"/>
  <c r="P153" i="18"/>
  <c r="P155" i="18"/>
  <c r="P10" i="18"/>
  <c r="P26" i="18"/>
  <c r="P42" i="18"/>
  <c r="P58" i="18"/>
  <c r="P74" i="18"/>
  <c r="P90" i="18"/>
  <c r="P106" i="18"/>
  <c r="P122" i="18"/>
  <c r="P138" i="18"/>
  <c r="P154" i="18"/>
  <c r="P27" i="18"/>
  <c r="P43" i="18"/>
  <c r="P59" i="18"/>
  <c r="P75" i="18"/>
  <c r="P91" i="18"/>
  <c r="P107" i="18"/>
  <c r="P139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00000000-0006-0000-0000-000001000000}">
      <text>
        <r>
          <rPr>
            <sz val="8"/>
            <color indexed="81"/>
            <rFont val="Tahoma"/>
            <family val="2"/>
          </rPr>
          <t>DM_4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05997430-7B53-4C43-A5E3-EA2EBB088D92}">
      <text>
        <r>
          <rPr>
            <sz val="8"/>
            <color indexed="81"/>
            <rFont val="Tahoma"/>
            <family val="2"/>
          </rPr>
          <t>SM_4</t>
        </r>
      </text>
    </comment>
  </commentList>
</comments>
</file>

<file path=xl/sharedStrings.xml><?xml version="1.0" encoding="utf-8"?>
<sst xmlns="http://schemas.openxmlformats.org/spreadsheetml/2006/main" count="653" uniqueCount="341">
  <si>
    <t>lot</t>
  </si>
  <si>
    <t>ontwerp</t>
  </si>
  <si>
    <t>bouwheer</t>
  </si>
  <si>
    <t>dossier</t>
  </si>
  <si>
    <t>00.</t>
  </si>
  <si>
    <t>ALGEMENE BEPALINGEN</t>
  </si>
  <si>
    <t>00.10.</t>
  </si>
  <si>
    <t>projectgegevens</t>
  </si>
  <si>
    <t>00.20.</t>
  </si>
  <si>
    <t>ontwerpteam</t>
  </si>
  <si>
    <t>00.21.</t>
  </si>
  <si>
    <t>ontwerper</t>
  </si>
  <si>
    <t>00.24.</t>
  </si>
  <si>
    <t>ontwerpteam - veiligheidscoördinatie</t>
  </si>
  <si>
    <t>00.25.</t>
  </si>
  <si>
    <t>ontwerpteam – EPB verslaggeving</t>
  </si>
  <si>
    <t>00.30.</t>
  </si>
  <si>
    <t>documenten</t>
  </si>
  <si>
    <t>00.31.</t>
  </si>
  <si>
    <t>documenten - architectuur</t>
  </si>
  <si>
    <t>00.32.</t>
  </si>
  <si>
    <t>documenten - stabiliteit</t>
  </si>
  <si>
    <t>00.33.</t>
  </si>
  <si>
    <t>documenten - technieken</t>
  </si>
  <si>
    <t>00.34.</t>
  </si>
  <si>
    <t>documenten - veiligheidsoördinatie</t>
  </si>
  <si>
    <t>00.35.</t>
  </si>
  <si>
    <t>documenten – EPB verslaggeving</t>
  </si>
  <si>
    <t>01.</t>
  </si>
  <si>
    <t>AANNEMINGSMODALITEITEN</t>
  </si>
  <si>
    <t>01.00.</t>
  </si>
  <si>
    <t>aannemingsmodaliteiten - algemeen</t>
  </si>
  <si>
    <t>01.01.</t>
  </si>
  <si>
    <t xml:space="preserve">aannemingsmodaliteiten – bestek </t>
  </si>
  <si>
    <t>01.02.</t>
  </si>
  <si>
    <t xml:space="preserve">aannemingsmodaliteiten – voorafgaand plaatsbezoek </t>
  </si>
  <si>
    <t>01.03.</t>
  </si>
  <si>
    <t xml:space="preserve">aannemingsmodaliteiten – burgerlijke aansprakelijkheid </t>
  </si>
  <si>
    <t>01.04.</t>
  </si>
  <si>
    <t xml:space="preserve">aannemingsmodaliteiten – volledigheid van inschrijving </t>
  </si>
  <si>
    <t>01.05.</t>
  </si>
  <si>
    <t xml:space="preserve">aannemingsmodaliteiten – onderaanneming </t>
  </si>
  <si>
    <t>01.06.</t>
  </si>
  <si>
    <t xml:space="preserve">aannemingsmodaliteiten – verrekeningen </t>
  </si>
  <si>
    <t>01.07.</t>
  </si>
  <si>
    <t xml:space="preserve">aannemingsmodaliteiten – keuringsattesten </t>
  </si>
  <si>
    <t>01.08.</t>
  </si>
  <si>
    <t xml:space="preserve">aannemingsmodaliteiten – materialenlijst </t>
  </si>
  <si>
    <t>01.20.</t>
  </si>
  <si>
    <t>werfcoördinatie – algemeen</t>
  </si>
  <si>
    <t>01.21.</t>
  </si>
  <si>
    <t xml:space="preserve">werfcoördinatie – planning van de werken </t>
  </si>
  <si>
    <t>01.23.</t>
  </si>
  <si>
    <t xml:space="preserve">werfcoördinatie – werfvergaderingen </t>
  </si>
  <si>
    <t>01.25.</t>
  </si>
  <si>
    <t xml:space="preserve">werfcoördinatie – as-builtdossier </t>
  </si>
  <si>
    <t>01.30.</t>
  </si>
  <si>
    <t>werfcondities – algemeen</t>
  </si>
  <si>
    <t>01.31.</t>
  </si>
  <si>
    <t xml:space="preserve">werfcondities – orde en netheid </t>
  </si>
  <si>
    <t>01.32.</t>
  </si>
  <si>
    <t xml:space="preserve">werfcondities – geluids- en stofhinder </t>
  </si>
  <si>
    <t>01.33.</t>
  </si>
  <si>
    <t xml:space="preserve">werfcondities – nazorg </t>
  </si>
  <si>
    <t>01.40.</t>
  </si>
  <si>
    <t xml:space="preserve">veiligheidsvoorschriften – algemeen </t>
  </si>
  <si>
    <t>02.</t>
  </si>
  <si>
    <t>BOUWPLAATSVOORZIENINGEN</t>
  </si>
  <si>
    <t>02.00.</t>
  </si>
  <si>
    <t>bouwplaatsvoorzieningen - algemeen</t>
  </si>
  <si>
    <t>omschrijving</t>
  </si>
  <si>
    <t>aantal</t>
  </si>
  <si>
    <t>totaal</t>
  </si>
  <si>
    <t>stuks</t>
  </si>
  <si>
    <t>Totaal</t>
  </si>
  <si>
    <t>FH</t>
  </si>
  <si>
    <t>st</t>
  </si>
  <si>
    <t>02.80.</t>
  </si>
  <si>
    <t>arbeidsmiddelen – algemeen</t>
  </si>
  <si>
    <t>02.81.</t>
  </si>
  <si>
    <t>arbeidsmiddelen – werken op hoogte</t>
  </si>
  <si>
    <t>04.</t>
  </si>
  <si>
    <t>GEBOUWPRESTATIES</t>
  </si>
  <si>
    <t>04.00.</t>
  </si>
  <si>
    <t>gebouwprestaties - algemeen</t>
  </si>
  <si>
    <t>04.10.</t>
  </si>
  <si>
    <t xml:space="preserve">energieprestatie en binnenklimaat (EPB) – algemeen </t>
  </si>
  <si>
    <t>04.40.</t>
  </si>
  <si>
    <t xml:space="preserve">brandveiligheid - algemeen </t>
  </si>
  <si>
    <t>lengte</t>
  </si>
  <si>
    <t>EP-</t>
  </si>
  <si>
    <t>m</t>
  </si>
  <si>
    <t>aansluitingen - algemeen</t>
  </si>
  <si>
    <t>speciale toebehoren - algemeen</t>
  </si>
  <si>
    <t>70.00.</t>
  </si>
  <si>
    <t>elektriciteit binnennet - algemeen</t>
  </si>
  <si>
    <t>70.10.</t>
  </si>
  <si>
    <t>70.11.</t>
  </si>
  <si>
    <t>70.12.</t>
  </si>
  <si>
    <t>70.14.</t>
  </si>
  <si>
    <t xml:space="preserve">aansluitingen - tellerkasten </t>
  </si>
  <si>
    <t>70.15.</t>
  </si>
  <si>
    <t>70.20.</t>
  </si>
  <si>
    <t>verdeelkasten - algemeen</t>
  </si>
  <si>
    <t>70.21.</t>
  </si>
  <si>
    <t xml:space="preserve">verdeelkasten - hoofdverdeelborden </t>
  </si>
  <si>
    <t>70.30.</t>
  </si>
  <si>
    <t>stroombeveiliging - algemeen</t>
  </si>
  <si>
    <t>70.31.</t>
  </si>
  <si>
    <t xml:space="preserve">stroombeveiliging - hoofdschakelaars </t>
  </si>
  <si>
    <t>70.32.</t>
  </si>
  <si>
    <t xml:space="preserve">stroombeveiliging - differentieelschakelaars </t>
  </si>
  <si>
    <t>70.33.</t>
  </si>
  <si>
    <t xml:space="preserve">stroombeveiliging - automatische schakelaars </t>
  </si>
  <si>
    <t>70.40.</t>
  </si>
  <si>
    <t>aarding - algemeen</t>
  </si>
  <si>
    <t>70.41.</t>
  </si>
  <si>
    <t>aarding - aardingslus</t>
  </si>
  <si>
    <t>70.43.</t>
  </si>
  <si>
    <t xml:space="preserve">aarding - aardingsonderbrekers </t>
  </si>
  <si>
    <t>70.44.</t>
  </si>
  <si>
    <t xml:space="preserve">aarding - hoofdbeschermingsgeleiders </t>
  </si>
  <si>
    <t>70.45.</t>
  </si>
  <si>
    <t xml:space="preserve">aarding - hoofdequipotentiaalverbindingen </t>
  </si>
  <si>
    <t>70.46.</t>
  </si>
  <si>
    <t xml:space="preserve">aarding - bijkomende equipotentiaalverbindingen </t>
  </si>
  <si>
    <t>70.50.</t>
  </si>
  <si>
    <t>leidingen - algemeen</t>
  </si>
  <si>
    <t>70.51.</t>
  </si>
  <si>
    <t>70.53.</t>
  </si>
  <si>
    <t xml:space="preserve">leidingen – inbouw kabelbuizen </t>
  </si>
  <si>
    <t>70.54.</t>
  </si>
  <si>
    <t xml:space="preserve">leidingen – opbouw kabelbuizen </t>
  </si>
  <si>
    <t>70.56.</t>
  </si>
  <si>
    <t xml:space="preserve">leidingen - kabelgoten en -ladders </t>
  </si>
  <si>
    <t>70.57.</t>
  </si>
  <si>
    <t xml:space="preserve">leidingen - wachtbuizen </t>
  </si>
  <si>
    <t>70.60.</t>
  </si>
  <si>
    <t>trek- en verbindingsdozen - algemeen</t>
  </si>
  <si>
    <t>70.61.</t>
  </si>
  <si>
    <t xml:space="preserve">trek- en verbindingsdozen - inbouw metselwerk </t>
  </si>
  <si>
    <t>70.62.</t>
  </si>
  <si>
    <t xml:space="preserve">trek- en verbindingsdozen - inbouw holle wanden </t>
  </si>
  <si>
    <t>70.65.</t>
  </si>
  <si>
    <t xml:space="preserve">trek- en verbindingsdozen – opbouw beton of metselwerk </t>
  </si>
  <si>
    <t>71.</t>
  </si>
  <si>
    <t>ELEKTRICITEIT SCHAKELAARS &amp; CONTACTDOZEN</t>
  </si>
  <si>
    <t>71.00.</t>
  </si>
  <si>
    <t>elektriciteit schakelaars &amp; contactdozen - algemeen</t>
  </si>
  <si>
    <t>71.10.</t>
  </si>
  <si>
    <t>stopcontacten - algemeen</t>
  </si>
  <si>
    <t>71.11.</t>
  </si>
  <si>
    <t xml:space="preserve">stopcontacten - 40/63A </t>
  </si>
  <si>
    <t>71.20.</t>
  </si>
  <si>
    <t>aansluitdozen - algemeen</t>
  </si>
  <si>
    <t>71.21.</t>
  </si>
  <si>
    <t>71.23.</t>
  </si>
  <si>
    <t>71.30.</t>
  </si>
  <si>
    <t>schakelaars - algemeen</t>
  </si>
  <si>
    <t>71.36.</t>
  </si>
  <si>
    <t>71.38.</t>
  </si>
  <si>
    <t>71.39.</t>
  </si>
  <si>
    <t>71.40.</t>
  </si>
  <si>
    <t>71.41.01</t>
  </si>
  <si>
    <t>71.41.02</t>
  </si>
  <si>
    <t>71.43.</t>
  </si>
  <si>
    <t>72.</t>
  </si>
  <si>
    <t>ELEKTRICITEIT LICHTARMATUREN</t>
  </si>
  <si>
    <t>72.00.</t>
  </si>
  <si>
    <t>elektriciteit lichtarmaturen - algemeen</t>
  </si>
  <si>
    <t>72.10.</t>
  </si>
  <si>
    <t>binnenarmaturen</t>
  </si>
  <si>
    <t>72.11.</t>
  </si>
  <si>
    <t xml:space="preserve">Type A – LED – opbouwarmatuur rechthoekig plafondmontage </t>
  </si>
  <si>
    <t>72.12.</t>
  </si>
  <si>
    <t>72.30.</t>
  </si>
  <si>
    <t>buitenarmaturen – algemeen</t>
  </si>
  <si>
    <t>72.31.</t>
  </si>
  <si>
    <t>buitenarmaturen LED</t>
  </si>
  <si>
    <t>72.31.01.</t>
  </si>
  <si>
    <t>72.31.02.</t>
  </si>
  <si>
    <t>72.50.</t>
  </si>
  <si>
    <t>veiligheidsverlichting - algemeen</t>
  </si>
  <si>
    <t>72.51.</t>
  </si>
  <si>
    <t>72.55.</t>
  </si>
  <si>
    <t xml:space="preserve">veiligheidsverlichting - signalisatie &amp; pictogrammen </t>
  </si>
  <si>
    <t>74.</t>
  </si>
  <si>
    <t>ELEKTRICITEIT TELECOM &amp; DOMOTICA</t>
  </si>
  <si>
    <t>74.00.</t>
  </si>
  <si>
    <t>elektriciteit telecom &amp; domotica - algemeen</t>
  </si>
  <si>
    <t>74.30.</t>
  </si>
  <si>
    <t>netwerkbekabeling – algemeen</t>
  </si>
  <si>
    <t>74.31.</t>
  </si>
  <si>
    <t>74.32.</t>
  </si>
  <si>
    <t xml:space="preserve">netwerkbekabeling – basis aansluitpunt </t>
  </si>
  <si>
    <t>74.33.</t>
  </si>
  <si>
    <t>74.34.</t>
  </si>
  <si>
    <t xml:space="preserve">netwerkbekabeling - binnenbekabeling </t>
  </si>
  <si>
    <t>77.</t>
  </si>
  <si>
    <t>BRANDDETECTIE &amp; ALARMSYSTEMEN</t>
  </si>
  <si>
    <t>77.00.</t>
  </si>
  <si>
    <t>branddetectie &amp; alarmsystemen - algemeen</t>
  </si>
  <si>
    <t>77.10.</t>
  </si>
  <si>
    <t>77.20.</t>
  </si>
  <si>
    <t xml:space="preserve">energievoorziening - algemeen </t>
  </si>
  <si>
    <t>77.30.</t>
  </si>
  <si>
    <t xml:space="preserve">bekabeling - algemeen </t>
  </si>
  <si>
    <t>77.40.</t>
  </si>
  <si>
    <t>brandmelding - algemeen</t>
  </si>
  <si>
    <t>77.41.</t>
  </si>
  <si>
    <t>77.42.</t>
  </si>
  <si>
    <t>77.60.</t>
  </si>
  <si>
    <t>evacuatietoebehoren - algemeen</t>
  </si>
  <si>
    <t>77.62.</t>
  </si>
  <si>
    <t>evacuatietoebehoren - pictogrammen</t>
  </si>
  <si>
    <t>78.</t>
  </si>
  <si>
    <t>ELEKTRICITEITSPRODUCTIE</t>
  </si>
  <si>
    <t>78.00.</t>
  </si>
  <si>
    <t>elektriciteitsproductie – algemeen</t>
  </si>
  <si>
    <t>78.10.</t>
  </si>
  <si>
    <t>photovoltaïsche panelen – algemeen</t>
  </si>
  <si>
    <t>mlib.xlsm</t>
  </si>
  <si>
    <t>78.11.</t>
  </si>
  <si>
    <t>wattpiek</t>
  </si>
  <si>
    <t>71.13.</t>
  </si>
  <si>
    <t>72.31.04.</t>
  </si>
  <si>
    <t>grote zaal</t>
  </si>
  <si>
    <t>PM</t>
  </si>
  <si>
    <t>SOG</t>
  </si>
  <si>
    <t>VMSW</t>
  </si>
  <si>
    <t>arbeidsmiddelen – werken op hoogte/ladders</t>
  </si>
  <si>
    <t>02.81.10.</t>
  </si>
  <si>
    <t>buiten</t>
  </si>
  <si>
    <t>70.</t>
  </si>
  <si>
    <t xml:space="preserve"> ELEKTRISCHE INSTALLATIE</t>
  </si>
  <si>
    <t>77.62.10.</t>
  </si>
  <si>
    <t>evacuatietoebehoren – pictogrammen - evacuatieschema</t>
  </si>
  <si>
    <t>77.62.20.</t>
  </si>
  <si>
    <t>ketel</t>
  </si>
  <si>
    <t>ventilatie units</t>
  </si>
  <si>
    <t>dampkap</t>
  </si>
  <si>
    <t>koelkasten</t>
  </si>
  <si>
    <t>diepvriezer</t>
  </si>
  <si>
    <t>RW pompen</t>
  </si>
  <si>
    <t>Ter hoogte van de speelzaal en per vereniging in het leidingslokaal.</t>
  </si>
  <si>
    <t>Voor de schakeling van de buitenstopcontacten.</t>
  </si>
  <si>
    <t>Volgens aanduidingen op de plannen, bediening buitenverlichting, fietsenstalling</t>
  </si>
  <si>
    <t xml:space="preserve">evacuatietoebehoren – pictogrammen - verzamelplaats	</t>
  </si>
  <si>
    <t>1 op het centrale binnenplein</t>
  </si>
  <si>
    <t>zonnepanelen buitenberging</t>
  </si>
  <si>
    <t>Eén tellerkast voor normaal uurtariefmeter</t>
  </si>
  <si>
    <t>technische ruimte</t>
  </si>
  <si>
    <t>verplaatsing teller</t>
  </si>
  <si>
    <t>afstand tot de straat</t>
  </si>
  <si>
    <t>aansluitingen – binnenbrengen kabel</t>
  </si>
  <si>
    <t>tussen teller en bord</t>
  </si>
  <si>
    <t>Voedingskabel fietsenstalling, verlichtingspunten en buitenstopcontacten</t>
  </si>
  <si>
    <t>electroboiler</t>
  </si>
  <si>
    <t>traphal 00</t>
  </si>
  <si>
    <t>leidingslokaal</t>
  </si>
  <si>
    <t>1 per lokaal</t>
  </si>
  <si>
    <t>speciale toebehoren - schemerschakelaar -astroklok in bord</t>
  </si>
  <si>
    <t>Type B– voedingspunt pendelarmatuur (te leveren door de jeugd zelf)</t>
  </si>
  <si>
    <t>alle 00</t>
  </si>
  <si>
    <t>01 technische ruimte en berging</t>
  </si>
  <si>
    <t>LEGENDE AANPASSEN OP PLAN!</t>
  </si>
  <si>
    <t xml:space="preserve">Type C – buitenarmaturen LED – wand opbouw </t>
  </si>
  <si>
    <t xml:space="preserve">Type D – buitenarmaturen LED – opbouwarmatuur rechthoekig plafondmontage </t>
  </si>
  <si>
    <t>langsheen staalstructuur</t>
  </si>
  <si>
    <t>vanaf de straat tot leidingslokaal</t>
  </si>
  <si>
    <t>switch aan de leidingslokaal of technische ruimte</t>
  </si>
  <si>
    <t>74.35.</t>
  </si>
  <si>
    <t>centrale eenheid - algemeen (recuperatie bestaande)</t>
  </si>
  <si>
    <t>brandmelding - branddetectoren nieuw</t>
  </si>
  <si>
    <t>indien noodzakelijk</t>
  </si>
  <si>
    <t>brandmelding - handmelders (recuperatie bestaande)</t>
  </si>
  <si>
    <t>brandmelding - branddetectoren</t>
  </si>
  <si>
    <t>77.41.20</t>
  </si>
  <si>
    <t>brandmelding - handmelders</t>
  </si>
  <si>
    <t>77.42.10</t>
  </si>
  <si>
    <t>77.42.20</t>
  </si>
  <si>
    <t>brandmelding - handmelders nieuw</t>
  </si>
  <si>
    <t>1 per compartiment/vluchtweg</t>
  </si>
  <si>
    <t>1ev</t>
  </si>
  <si>
    <t>gv</t>
  </si>
  <si>
    <t>vaatwas</t>
  </si>
  <si>
    <t xml:space="preserve">all +1  </t>
  </si>
  <si>
    <t>onder de luifel</t>
  </si>
  <si>
    <t>Aannemer 1</t>
  </si>
  <si>
    <t>Aannemer 2</t>
  </si>
  <si>
    <t>Aannemer 3</t>
  </si>
  <si>
    <t>volgnr.</t>
  </si>
  <si>
    <t>art.</t>
  </si>
  <si>
    <t>eenheid</t>
  </si>
  <si>
    <t>hoev.</t>
  </si>
  <si>
    <t>hoev. 2</t>
  </si>
  <si>
    <t>eenh.pr.</t>
  </si>
  <si>
    <t>gemiddelde</t>
  </si>
  <si>
    <t>prijs</t>
  </si>
  <si>
    <t>afw. hoev.</t>
  </si>
  <si>
    <t>prijs 2</t>
  </si>
  <si>
    <t>% tov tot.</t>
  </si>
  <si>
    <t>% tov gem.</t>
  </si>
  <si>
    <t>Totaal €</t>
  </si>
  <si>
    <t>BTW</t>
  </si>
  <si>
    <t>Eindtotaal €</t>
  </si>
  <si>
    <t>Hoofdstuk 0</t>
  </si>
  <si>
    <t>Hoofdstuk 1</t>
  </si>
  <si>
    <t>Hoofdstuk 2</t>
  </si>
  <si>
    <t>Hoofdstuk 4</t>
  </si>
  <si>
    <t>Hoofdstuk 70</t>
  </si>
  <si>
    <t>Hoofdstuk 71</t>
  </si>
  <si>
    <t>Hoofdstuk 72</t>
  </si>
  <si>
    <t>Hoofdstuk 74</t>
  </si>
  <si>
    <t>Hoofdstuk 77</t>
  </si>
  <si>
    <t>Hoofdstuk 78</t>
  </si>
  <si>
    <t>WRJ22</t>
  </si>
  <si>
    <t>Waasmunster_Jeugdlokalen</t>
  </si>
  <si>
    <t>Gemeentebestuur Waasmunster</t>
  </si>
  <si>
    <t>Elektriciteit</t>
  </si>
  <si>
    <t>aansluitingen – ondergrondse aansluiting (enkel levering)</t>
  </si>
  <si>
    <t>aansluitingen – verbindingskabels  (enkel levering)</t>
  </si>
  <si>
    <t>leidingen – ondergrondse kabels  (enkel levering)</t>
  </si>
  <si>
    <t>stopcontacten (slijpwerken en kabels trekken excl)</t>
  </si>
  <si>
    <t>aansluitdozen - voeding elektrisch fornuis en andere  (slijpwerken en kabels trekken excl)</t>
  </si>
  <si>
    <t>aansluitdozen - voeding HVAC en andere  (slijpwerken en kabels trekken excl)</t>
  </si>
  <si>
    <t>schakelaars- teleruptoren  (slijpwerken en kabels trekken excl)</t>
  </si>
  <si>
    <t>schakelaars – all on/off  (slijpwerken en kabels trekken excl)</t>
  </si>
  <si>
    <t>schakelaars – voor voeding stopcontacten  (slijpwerken en kabels trekken excl)</t>
  </si>
  <si>
    <t>speciale toebehoren – afwezigheidsdetectoren PIR  (slijpwerken en kabels trekken excl)</t>
  </si>
  <si>
    <t>speciale toebehoren - bewegingsdetectoren  (slijpwerken en kabels trekken excl)</t>
  </si>
  <si>
    <t>EH</t>
  </si>
  <si>
    <t>Type E – buitenarmaturen LED – flexibele strip (optioneel)</t>
  </si>
  <si>
    <t>netwerkbekabeling – buitenbekabeling  (enkel levering)</t>
  </si>
  <si>
    <t>netwerkbekabeling – wifi repeaters (enkel levering kabel,  slijpwerken en kabels trekken excl)</t>
  </si>
  <si>
    <t>netwerkbekabeling – extra aansluitpunten utp  (slijpwerken en kabels trekken excl)</t>
  </si>
  <si>
    <t>brandmelding - branddetectoren (recuperatie bestaande, slijpwerken en kabels trekken excl)</t>
  </si>
  <si>
    <t>VH</t>
  </si>
  <si>
    <t>Photovoltaïsche panelen – aangesloten op het net (optioneel)</t>
  </si>
  <si>
    <t>77.41.10</t>
  </si>
  <si>
    <t>veiligheidsverlichting – autonoom niet-permanent   (slijpwerken en kabels trekken excl)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</si>
</sst>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164" formatCode="&quot;€&quot;\ #,##0.00;&quot;€&quot;\ \-#,##0.00"/>
    <numFmt numFmtId="165" formatCode="&quot;€&quot;\ #,##0.00;[Red]&quot;€&quot;\ \-#,##0.00"/>
    <numFmt numFmtId="166" formatCode="0.00_ ;[Red]\-0.00\ "/>
    <numFmt numFmtId="167" formatCode="#,##0.00\ _€;[Red]\-#,##0.00\ _€;\ "/>
    <numFmt numFmtId="168" formatCode="#,##0_._0_0_0;[Red]\-#,##0_._0_0_0"/>
    <numFmt numFmtId="169" formatCode="\x\ 0;\x\ \-0"/>
    <numFmt numFmtId="170" formatCode="#,##0.00_0;[Red]\-#,##0.00_0"/>
    <numFmt numFmtId="171" formatCode="#,##0.000;[Red]\-#,##0.000"/>
    <numFmt numFmtId="172" formatCode="#,##0.00;[Red]\-#,##0.00;&quot;incl.&quot;"/>
    <numFmt numFmtId="173" formatCode="#,##0.0___0;[Red]\-#,##0.00_0"/>
    <numFmt numFmtId="174" formatCode="#,##0.00_0;[Red]\-#,##0.00_00"/>
    <numFmt numFmtId="175" formatCode="#,##0.000"/>
    <numFmt numFmtId="176" formatCode="#,##0.00;[Red]\-#,##0.00;&quot; &quot;"/>
    <numFmt numFmtId="177" formatCode="0_ ;[Red]\-0\ "/>
    <numFmt numFmtId="178" formatCode="0.0%;\-0.0%;&quot; &quot;"/>
    <numFmt numFmtId="179" formatCode="0.0%;\-0.0%"/>
  </numFmts>
  <fonts count="22"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8"/>
      <name val="Helv"/>
    </font>
    <font>
      <sz val="10"/>
      <name val="Prenton RP Pro Light"/>
      <family val="2"/>
    </font>
    <font>
      <sz val="12"/>
      <color indexed="24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b/>
      <sz val="9.75"/>
      <color rgb="FF0000FF"/>
      <name val="Prenton RP Pro Light"/>
      <family val="2"/>
    </font>
    <font>
      <b/>
      <sz val="10"/>
      <name val="Prenton RP Pro Light"/>
      <family val="2"/>
    </font>
    <font>
      <sz val="8"/>
      <name val="Prenton RP Pro Light"/>
      <family val="2"/>
    </font>
    <font>
      <b/>
      <sz val="10"/>
      <color indexed="19"/>
      <name val="Prenton RP Pro Light"/>
      <family val="2"/>
    </font>
  </fonts>
  <fills count="14">
    <fill>
      <patternFill patternType="none"/>
    </fill>
    <fill>
      <patternFill patternType="gray125"/>
    </fill>
    <fill>
      <patternFill patternType="gray125">
        <bgColor indexed="4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01">
    <xf numFmtId="0" fontId="0" fillId="0" borderId="0"/>
    <xf numFmtId="49" fontId="7" fillId="1" borderId="3">
      <alignment horizontal="left"/>
    </xf>
    <xf numFmtId="167" fontId="12" fillId="3" borderId="0" applyFont="0" applyFill="0" applyBorder="0" applyAlignment="0" applyProtection="0"/>
    <xf numFmtId="168" fontId="12" fillId="0" borderId="0" applyFont="0" applyFill="0" applyBorder="0" applyAlignment="0" applyProtection="0"/>
    <xf numFmtId="169" fontId="13" fillId="0" borderId="8" applyFont="0" applyFill="0" applyBorder="0" applyAlignment="0" applyProtection="0"/>
    <xf numFmtId="0" fontId="7" fillId="4" borderId="3" applyNumberFormat="0" applyFill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0" fillId="0" borderId="0"/>
    <xf numFmtId="172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10" fillId="0" borderId="0"/>
    <xf numFmtId="0" fontId="15" fillId="0" borderId="0"/>
    <xf numFmtId="3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6" fillId="0" borderId="0"/>
    <xf numFmtId="168" fontId="10" fillId="0" borderId="0" applyFont="0" applyFill="0" applyBorder="0" applyAlignment="0" applyProtection="0"/>
    <xf numFmtId="169" fontId="13" fillId="0" borderId="8" applyFont="0" applyFill="0" applyBorder="0" applyAlignment="0" applyProtection="0"/>
    <xf numFmtId="0" fontId="7" fillId="1" borderId="3" applyNumberFormat="0" applyProtection="0">
      <alignment horizontal="left"/>
    </xf>
    <xf numFmtId="0" fontId="7" fillId="1" borderId="3" applyNumberFormat="0" applyProtection="0">
      <alignment horizontal="left"/>
    </xf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0" fillId="0" borderId="0"/>
    <xf numFmtId="173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4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5" fontId="13" fillId="0" borderId="0" applyFont="0" applyFill="0" applyBorder="0" applyAlignment="0" applyProtection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3" fillId="0" borderId="0"/>
    <xf numFmtId="0" fontId="6" fillId="0" borderId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8" fontId="10" fillId="0" borderId="0"/>
    <xf numFmtId="165" fontId="12" fillId="3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2" fontId="10" fillId="0" borderId="0"/>
    <xf numFmtId="168" fontId="16" fillId="0" borderId="0"/>
    <xf numFmtId="168" fontId="12" fillId="0" borderId="0" applyFont="0" applyFill="0" applyBorder="0" applyAlignment="0" applyProtection="0"/>
    <xf numFmtId="0" fontId="7" fillId="0" borderId="2">
      <alignment horizontal="left"/>
    </xf>
    <xf numFmtId="0" fontId="7" fillId="0" borderId="2">
      <alignment horizontal="left"/>
    </xf>
    <xf numFmtId="0" fontId="7" fillId="0" borderId="2">
      <alignment horizontal="left"/>
    </xf>
    <xf numFmtId="0" fontId="7" fillId="0" borderId="2"/>
    <xf numFmtId="0" fontId="7" fillId="0" borderId="2"/>
    <xf numFmtId="171" fontId="12" fillId="0" borderId="0" applyFont="0" applyFill="0" applyBorder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171" fontId="12" fillId="0" borderId="0" applyFont="0" applyFill="0" applyBorder="0" applyAlignment="0" applyProtection="0"/>
    <xf numFmtId="171" fontId="10" fillId="0" borderId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17" fillId="4" borderId="3" applyNumberFormat="0" applyFill="0" applyAlignment="0" applyProtection="0"/>
    <xf numFmtId="170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166" fontId="10" fillId="0" borderId="0"/>
    <xf numFmtId="44" fontId="10" fillId="0" borderId="0" applyFont="0" applyFill="0" applyBorder="0" applyAlignment="0" applyProtection="0"/>
    <xf numFmtId="0" fontId="6" fillId="0" borderId="0"/>
    <xf numFmtId="0" fontId="6" fillId="0" borderId="0"/>
    <xf numFmtId="166" fontId="10" fillId="0" borderId="0"/>
    <xf numFmtId="164" fontId="10" fillId="0" borderId="0" applyFont="0" applyFill="0" applyBorder="0" applyAlignment="0" applyProtection="0"/>
    <xf numFmtId="0" fontId="6" fillId="0" borderId="0"/>
    <xf numFmtId="165" fontId="12" fillId="3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10" fillId="0" borderId="0"/>
    <xf numFmtId="0" fontId="5" fillId="0" borderId="0"/>
    <xf numFmtId="0" fontId="5" fillId="0" borderId="0"/>
    <xf numFmtId="44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44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4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3"/>
    <xf numFmtId="170" fontId="9" fillId="0" borderId="3"/>
    <xf numFmtId="171" fontId="9" fillId="0" borderId="3"/>
    <xf numFmtId="0" fontId="16" fillId="0" borderId="0"/>
    <xf numFmtId="166" fontId="10" fillId="0" borderId="0"/>
    <xf numFmtId="166" fontId="10" fillId="0" borderId="0"/>
  </cellStyleXfs>
  <cellXfs count="99">
    <xf numFmtId="0" fontId="0" fillId="0" borderId="0" xfId="0"/>
    <xf numFmtId="166" fontId="14" fillId="0" borderId="0" xfId="0" applyNumberFormat="1" applyFont="1"/>
    <xf numFmtId="0" fontId="14" fillId="0" borderId="0" xfId="0" applyFont="1"/>
    <xf numFmtId="166" fontId="14" fillId="0" borderId="1" xfId="0" applyNumberFormat="1" applyFont="1" applyBorder="1"/>
    <xf numFmtId="166" fontId="20" fillId="0" borderId="0" xfId="0" applyNumberFormat="1" applyFont="1"/>
    <xf numFmtId="166" fontId="14" fillId="0" borderId="2" xfId="0" applyNumberFormat="1" applyFont="1" applyBorder="1"/>
    <xf numFmtId="49" fontId="19" fillId="2" borderId="3" xfId="1" applyFont="1" applyFill="1">
      <alignment horizontal="left"/>
    </xf>
    <xf numFmtId="49" fontId="19" fillId="1" borderId="3" xfId="1" applyFont="1">
      <alignment horizontal="left"/>
    </xf>
    <xf numFmtId="49" fontId="19" fillId="0" borderId="3" xfId="1" applyFont="1" applyFill="1">
      <alignment horizontal="left"/>
    </xf>
    <xf numFmtId="0" fontId="14" fillId="0" borderId="2" xfId="0" applyFont="1" applyBorder="1"/>
    <xf numFmtId="170" fontId="19" fillId="0" borderId="10" xfId="18" applyFont="1" applyFill="1" applyBorder="1" applyAlignment="1"/>
    <xf numFmtId="170" fontId="19" fillId="0" borderId="10" xfId="13" applyFont="1" applyFill="1" applyBorder="1" applyAlignment="1"/>
    <xf numFmtId="0" fontId="19" fillId="0" borderId="3" xfId="5" applyFont="1" applyFill="1" applyAlignment="1"/>
    <xf numFmtId="2" fontId="14" fillId="0" borderId="7" xfId="0" applyNumberFormat="1" applyFont="1" applyBorder="1"/>
    <xf numFmtId="169" fontId="14" fillId="0" borderId="8" xfId="4" applyFont="1" applyFill="1" applyBorder="1" applyAlignment="1"/>
    <xf numFmtId="169" fontId="14" fillId="0" borderId="9" xfId="4" applyFont="1" applyFill="1" applyBorder="1" applyAlignment="1"/>
    <xf numFmtId="0" fontId="19" fillId="0" borderId="10" xfId="5" applyFont="1" applyFill="1" applyBorder="1" applyAlignment="1"/>
    <xf numFmtId="0" fontId="19" fillId="0" borderId="11" xfId="5" applyFont="1" applyFill="1" applyBorder="1" applyAlignment="1"/>
    <xf numFmtId="2" fontId="14" fillId="0" borderId="0" xfId="0" applyNumberFormat="1" applyFont="1"/>
    <xf numFmtId="167" fontId="19" fillId="0" borderId="3" xfId="2" applyFont="1" applyFill="1" applyBorder="1" applyAlignment="1"/>
    <xf numFmtId="0" fontId="14" fillId="0" borderId="4" xfId="0" applyFont="1" applyBorder="1" applyAlignment="1">
      <alignment horizontal="right"/>
    </xf>
    <xf numFmtId="0" fontId="14" fillId="0" borderId="2" xfId="0" applyFont="1" applyBorder="1" applyAlignment="1">
      <alignment horizontal="right"/>
    </xf>
    <xf numFmtId="0" fontId="14" fillId="0" borderId="5" xfId="0" applyFont="1" applyBorder="1" applyAlignment="1">
      <alignment horizontal="centerContinuous"/>
    </xf>
    <xf numFmtId="0" fontId="14" fillId="0" borderId="6" xfId="0" applyFont="1" applyBorder="1" applyAlignment="1">
      <alignment horizontal="centerContinuous"/>
    </xf>
    <xf numFmtId="168" fontId="14" fillId="0" borderId="0" xfId="3" applyFont="1" applyFill="1" applyBorder="1" applyAlignment="1"/>
    <xf numFmtId="170" fontId="14" fillId="0" borderId="0" xfId="8" applyFont="1" applyFill="1" applyBorder="1" applyAlignment="1"/>
    <xf numFmtId="166" fontId="18" fillId="0" borderId="0" xfId="0" quotePrefix="1" applyNumberFormat="1" applyFont="1"/>
    <xf numFmtId="166" fontId="19" fillId="0" borderId="0" xfId="0" applyNumberFormat="1" applyFont="1"/>
    <xf numFmtId="166" fontId="18" fillId="0" borderId="0" xfId="0" applyNumberFormat="1" applyFont="1"/>
    <xf numFmtId="168" fontId="9" fillId="0" borderId="3" xfId="195"/>
    <xf numFmtId="170" fontId="9" fillId="0" borderId="3" xfId="196"/>
    <xf numFmtId="0" fontId="14" fillId="0" borderId="0" xfId="0" quotePrefix="1" applyFont="1"/>
    <xf numFmtId="177" fontId="14" fillId="0" borderId="1" xfId="11" applyNumberFormat="1" applyFont="1" applyBorder="1"/>
    <xf numFmtId="166" fontId="14" fillId="0" borderId="1" xfId="11" applyFont="1" applyBorder="1"/>
    <xf numFmtId="166" fontId="14" fillId="0" borderId="0" xfId="11" applyFont="1"/>
    <xf numFmtId="0" fontId="14" fillId="0" borderId="0" xfId="11" applyNumberFormat="1" applyFont="1"/>
    <xf numFmtId="0" fontId="14" fillId="7" borderId="10" xfId="11" applyNumberFormat="1" applyFont="1" applyFill="1" applyBorder="1" applyAlignment="1">
      <alignment horizontal="centerContinuous"/>
    </xf>
    <xf numFmtId="0" fontId="14" fillId="7" borderId="3" xfId="11" applyNumberFormat="1" applyFont="1" applyFill="1" applyBorder="1" applyAlignment="1">
      <alignment horizontal="centerContinuous"/>
    </xf>
    <xf numFmtId="0" fontId="14" fillId="7" borderId="12" xfId="11" applyNumberFormat="1" applyFont="1" applyFill="1" applyBorder="1" applyAlignment="1">
      <alignment horizontal="centerContinuous"/>
    </xf>
    <xf numFmtId="0" fontId="14" fillId="5" borderId="3" xfId="11" applyNumberFormat="1" applyFont="1" applyFill="1" applyBorder="1" applyAlignment="1">
      <alignment horizontal="centerContinuous"/>
    </xf>
    <xf numFmtId="0" fontId="14" fillId="5" borderId="12" xfId="11" applyNumberFormat="1" applyFont="1" applyFill="1" applyBorder="1" applyAlignment="1">
      <alignment horizontal="centerContinuous"/>
    </xf>
    <xf numFmtId="0" fontId="14" fillId="6" borderId="3" xfId="11" applyNumberFormat="1" applyFont="1" applyFill="1" applyBorder="1" applyAlignment="1">
      <alignment horizontal="centerContinuous"/>
    </xf>
    <xf numFmtId="0" fontId="14" fillId="6" borderId="12" xfId="11" applyNumberFormat="1" applyFont="1" applyFill="1" applyBorder="1" applyAlignment="1">
      <alignment horizontal="centerContinuous"/>
    </xf>
    <xf numFmtId="177" fontId="14" fillId="8" borderId="13" xfId="11" applyNumberFormat="1" applyFont="1" applyFill="1" applyBorder="1" applyAlignment="1">
      <alignment horizontal="center" vertical="top"/>
    </xf>
    <xf numFmtId="166" fontId="14" fillId="8" borderId="13" xfId="11" applyFont="1" applyFill="1" applyBorder="1" applyAlignment="1">
      <alignment horizontal="center" vertical="top"/>
    </xf>
    <xf numFmtId="166" fontId="14" fillId="8" borderId="13" xfId="11" applyFont="1" applyFill="1" applyBorder="1" applyAlignment="1">
      <alignment vertical="top"/>
    </xf>
    <xf numFmtId="166" fontId="14" fillId="8" borderId="13" xfId="11" applyFont="1" applyFill="1" applyBorder="1" applyAlignment="1">
      <alignment horizontal="center" vertical="top" wrapText="1"/>
    </xf>
    <xf numFmtId="166" fontId="14" fillId="8" borderId="10" xfId="11" applyFont="1" applyFill="1" applyBorder="1" applyAlignment="1">
      <alignment horizontal="center" vertical="top"/>
    </xf>
    <xf numFmtId="166" fontId="14" fillId="9" borderId="13" xfId="11" applyFont="1" applyFill="1" applyBorder="1" applyAlignment="1">
      <alignment vertical="top"/>
    </xf>
    <xf numFmtId="166" fontId="14" fillId="10" borderId="3" xfId="11" applyFont="1" applyFill="1" applyBorder="1" applyAlignment="1">
      <alignment horizontal="right" vertical="top"/>
    </xf>
    <xf numFmtId="166" fontId="14" fillId="10" borderId="12" xfId="11" applyFont="1" applyFill="1" applyBorder="1" applyAlignment="1">
      <alignment horizontal="right" vertical="top"/>
    </xf>
    <xf numFmtId="166" fontId="14" fillId="11" borderId="3" xfId="11" applyFont="1" applyFill="1" applyBorder="1" applyAlignment="1">
      <alignment horizontal="right" vertical="top"/>
    </xf>
    <xf numFmtId="166" fontId="14" fillId="11" borderId="12" xfId="11" applyFont="1" applyFill="1" applyBorder="1" applyAlignment="1">
      <alignment horizontal="right" vertical="top"/>
    </xf>
    <xf numFmtId="166" fontId="14" fillId="12" borderId="3" xfId="11" applyFont="1" applyFill="1" applyBorder="1" applyAlignment="1">
      <alignment horizontal="right" vertical="top"/>
    </xf>
    <xf numFmtId="166" fontId="14" fillId="12" borderId="12" xfId="11" applyFont="1" applyFill="1" applyBorder="1" applyAlignment="1">
      <alignment horizontal="right" vertical="top"/>
    </xf>
    <xf numFmtId="166" fontId="14" fillId="0" borderId="0" xfId="11" applyFont="1" applyAlignment="1">
      <alignment vertical="top"/>
    </xf>
    <xf numFmtId="49" fontId="21" fillId="0" borderId="14" xfId="0" applyNumberFormat="1" applyFont="1" applyBorder="1" applyAlignment="1">
      <alignment vertical="top"/>
    </xf>
    <xf numFmtId="0" fontId="14" fillId="0" borderId="15" xfId="0" applyFont="1" applyBorder="1"/>
    <xf numFmtId="0" fontId="14" fillId="0" borderId="15" xfId="0" applyFont="1" applyBorder="1" applyAlignment="1">
      <alignment wrapText="1"/>
    </xf>
    <xf numFmtId="167" fontId="14" fillId="0" borderId="15" xfId="2" applyFont="1" applyFill="1" applyBorder="1" applyAlignment="1"/>
    <xf numFmtId="167" fontId="14" fillId="0" borderId="16" xfId="2" applyFont="1" applyFill="1" applyBorder="1" applyAlignment="1"/>
    <xf numFmtId="167" fontId="14" fillId="0" borderId="14" xfId="2" applyFont="1" applyFill="1" applyBorder="1" applyAlignment="1"/>
    <xf numFmtId="172" fontId="14" fillId="0" borderId="23" xfId="12" applyFont="1" applyBorder="1" applyAlignment="1"/>
    <xf numFmtId="172" fontId="14" fillId="0" borderId="15" xfId="12" applyFont="1" applyBorder="1" applyAlignment="1"/>
    <xf numFmtId="178" fontId="14" fillId="0" borderId="15" xfId="0" applyNumberFormat="1" applyFont="1" applyBorder="1"/>
    <xf numFmtId="179" fontId="14" fillId="0" borderId="24" xfId="0" applyNumberFormat="1" applyFont="1" applyBorder="1"/>
    <xf numFmtId="177" fontId="14" fillId="0" borderId="0" xfId="11" applyNumberFormat="1" applyFont="1"/>
    <xf numFmtId="49" fontId="14" fillId="0" borderId="14" xfId="0" applyNumberFormat="1" applyFont="1" applyBorder="1" applyAlignment="1">
      <alignment vertical="top"/>
    </xf>
    <xf numFmtId="0" fontId="14" fillId="0" borderId="15" xfId="0" applyFont="1" applyBorder="1" applyAlignment="1">
      <alignment vertical="top"/>
    </xf>
    <xf numFmtId="1" fontId="14" fillId="13" borderId="14" xfId="0" applyNumberFormat="1" applyFont="1" applyFill="1" applyBorder="1"/>
    <xf numFmtId="0" fontId="14" fillId="13" borderId="15" xfId="0" applyFont="1" applyFill="1" applyBorder="1"/>
    <xf numFmtId="0" fontId="14" fillId="13" borderId="15" xfId="0" applyFont="1" applyFill="1" applyBorder="1" applyAlignment="1">
      <alignment wrapText="1"/>
    </xf>
    <xf numFmtId="167" fontId="14" fillId="13" borderId="15" xfId="2" applyFont="1" applyFill="1" applyBorder="1" applyAlignment="1"/>
    <xf numFmtId="167" fontId="21" fillId="13" borderId="22" xfId="2" applyFont="1" applyFill="1" applyBorder="1" applyAlignment="1"/>
    <xf numFmtId="0" fontId="14" fillId="0" borderId="14" xfId="0" applyFont="1" applyBorder="1" applyAlignment="1">
      <alignment vertical="top"/>
    </xf>
    <xf numFmtId="168" fontId="14" fillId="0" borderId="15" xfId="0" applyNumberFormat="1" applyFont="1" applyBorder="1"/>
    <xf numFmtId="170" fontId="14" fillId="0" borderId="15" xfId="0" applyNumberFormat="1" applyFont="1" applyBorder="1"/>
    <xf numFmtId="0" fontId="14" fillId="0" borderId="1" xfId="0" applyFont="1" applyBorder="1" applyProtection="1">
      <protection hidden="1"/>
    </xf>
    <xf numFmtId="0" fontId="14" fillId="0" borderId="17" xfId="0" applyFont="1" applyBorder="1" applyProtection="1">
      <protection hidden="1"/>
    </xf>
    <xf numFmtId="0" fontId="19" fillId="0" borderId="18" xfId="0" applyFont="1" applyBorder="1" applyAlignment="1" applyProtection="1">
      <alignment horizontal="right"/>
      <protection hidden="1"/>
    </xf>
    <xf numFmtId="0" fontId="14" fillId="0" borderId="1" xfId="0" applyFont="1" applyBorder="1" applyAlignment="1" applyProtection="1">
      <alignment horizontal="right"/>
      <protection hidden="1"/>
    </xf>
    <xf numFmtId="167" fontId="19" fillId="0" borderId="19" xfId="2" applyFont="1" applyFill="1" applyBorder="1" applyAlignment="1" applyProtection="1">
      <protection hidden="1"/>
    </xf>
    <xf numFmtId="167" fontId="19" fillId="0" borderId="17" xfId="2" applyFont="1" applyFill="1" applyBorder="1" applyAlignment="1" applyProtection="1">
      <protection hidden="1"/>
    </xf>
    <xf numFmtId="0" fontId="14" fillId="0" borderId="19" xfId="0" applyFont="1" applyBorder="1"/>
    <xf numFmtId="0" fontId="14" fillId="0" borderId="0" xfId="0" applyFont="1" applyProtection="1">
      <protection hidden="1"/>
    </xf>
    <xf numFmtId="0" fontId="19" fillId="0" borderId="7" xfId="0" applyFont="1" applyBorder="1" applyAlignment="1" applyProtection="1">
      <alignment horizontal="right"/>
      <protection hidden="1"/>
    </xf>
    <xf numFmtId="0" fontId="14" fillId="0" borderId="7" xfId="0" applyFont="1" applyBorder="1" applyAlignment="1" applyProtection="1">
      <alignment horizontal="right"/>
      <protection hidden="1"/>
    </xf>
    <xf numFmtId="167" fontId="19" fillId="0" borderId="7" xfId="2" applyFont="1" applyFill="1" applyBorder="1" applyAlignment="1" applyProtection="1">
      <protection hidden="1"/>
    </xf>
    <xf numFmtId="167" fontId="19" fillId="0" borderId="9" xfId="2" applyFont="1" applyFill="1" applyBorder="1" applyAlignment="1" applyProtection="1">
      <protection hidden="1"/>
    </xf>
    <xf numFmtId="0" fontId="19" fillId="0" borderId="4" xfId="0" applyFont="1" applyBorder="1" applyAlignment="1" applyProtection="1">
      <alignment horizontal="right"/>
      <protection hidden="1"/>
    </xf>
    <xf numFmtId="9" fontId="14" fillId="0" borderId="4" xfId="0" applyNumberFormat="1" applyFont="1" applyBorder="1" applyAlignment="1" applyProtection="1">
      <alignment horizontal="right"/>
      <protection hidden="1"/>
    </xf>
    <xf numFmtId="167" fontId="19" fillId="0" borderId="4" xfId="2" applyFont="1" applyFill="1" applyBorder="1" applyAlignment="1" applyProtection="1">
      <protection hidden="1"/>
    </xf>
    <xf numFmtId="0" fontId="19" fillId="0" borderId="20" xfId="0" applyFont="1" applyBorder="1" applyAlignment="1" applyProtection="1">
      <alignment horizontal="right"/>
      <protection hidden="1"/>
    </xf>
    <xf numFmtId="0" fontId="14" fillId="0" borderId="20" xfId="0" applyFont="1" applyBorder="1" applyAlignment="1" applyProtection="1">
      <alignment horizontal="right"/>
      <protection hidden="1"/>
    </xf>
    <xf numFmtId="167" fontId="19" fillId="0" borderId="20" xfId="2" applyFont="1" applyFill="1" applyBorder="1" applyAlignment="1" applyProtection="1">
      <protection hidden="1"/>
    </xf>
    <xf numFmtId="167" fontId="19" fillId="0" borderId="21" xfId="2" applyFont="1" applyFill="1" applyBorder="1" applyAlignment="1" applyProtection="1">
      <protection hidden="1"/>
    </xf>
    <xf numFmtId="0" fontId="14" fillId="0" borderId="15" xfId="0" applyFont="1" applyBorder="1" applyAlignment="1">
      <alignment vertical="top" wrapText="1"/>
    </xf>
    <xf numFmtId="166" fontId="14" fillId="8" borderId="10" xfId="11" applyFont="1" applyFill="1" applyBorder="1" applyAlignment="1">
      <alignment horizontal="center" vertical="top" wrapText="1"/>
    </xf>
    <xf numFmtId="166" fontId="14" fillId="8" borderId="12" xfId="11" applyFont="1" applyFill="1" applyBorder="1" applyAlignment="1">
      <alignment horizontal="center" vertical="top" wrapText="1"/>
    </xf>
  </cellXfs>
  <cellStyles count="201">
    <cellStyle name="%" xfId="20" xr:uid="{00000000-0005-0000-0000-000000000000}"/>
    <cellStyle name="Aantal" xfId="21" xr:uid="{00000000-0005-0000-0000-000001000000}"/>
    <cellStyle name="ArticleStyle" xfId="1" xr:uid="{00000000-0005-0000-0000-000002000000}"/>
    <cellStyle name="ArticleStyle 2" xfId="22" xr:uid="{00000000-0005-0000-0000-000003000000}"/>
    <cellStyle name="Artikel" xfId="23" xr:uid="{00000000-0005-0000-0000-000004000000}"/>
    <cellStyle name="Comma0" xfId="16" xr:uid="{00000000-0005-0000-0000-000005000000}"/>
    <cellStyle name="D_TQ_0" xfId="195" xr:uid="{A621972D-D073-4B7C-A970-BE6D82DA4F79}"/>
    <cellStyle name="D_TQ_2" xfId="196" xr:uid="{09F107A1-E4ED-4A72-993A-0E55F5BF8019}"/>
    <cellStyle name="D_TQ_3" xfId="197" xr:uid="{2FC0EDE8-5E75-4EF8-BA6E-982D8D43E795}"/>
    <cellStyle name="dag" xfId="24" xr:uid="{00000000-0005-0000-0000-000006000000}"/>
    <cellStyle name="dm²" xfId="25" xr:uid="{00000000-0005-0000-0000-000007000000}"/>
    <cellStyle name="dm³" xfId="26" xr:uid="{00000000-0005-0000-0000-000008000000}"/>
    <cellStyle name="Eur/u" xfId="27" xr:uid="{00000000-0005-0000-0000-000009000000}"/>
    <cellStyle name="Eur/u 2" xfId="91" xr:uid="{00000000-0005-0000-0000-00000A000000}"/>
    <cellStyle name="FF" xfId="28" xr:uid="{00000000-0005-0000-0000-00000B000000}"/>
    <cellStyle name="Fixed" xfId="17" xr:uid="{00000000-0005-0000-0000-00000C000000}"/>
    <cellStyle name="GP" xfId="29" xr:uid="{00000000-0005-0000-0000-00000D000000}"/>
    <cellStyle name="hl" xfId="30" xr:uid="{00000000-0005-0000-0000-00000E000000}"/>
    <cellStyle name="hr" xfId="31" xr:uid="{00000000-0005-0000-0000-00000F000000}"/>
    <cellStyle name="jour" xfId="32" xr:uid="{00000000-0005-0000-0000-000010000000}"/>
    <cellStyle name="kg" xfId="9" xr:uid="{00000000-0005-0000-0000-000011000000}"/>
    <cellStyle name="kW" xfId="33" xr:uid="{00000000-0005-0000-0000-000012000000}"/>
    <cellStyle name="l" xfId="34" xr:uid="{00000000-0005-0000-0000-000013000000}"/>
    <cellStyle name="lm" xfId="35" xr:uid="{00000000-0005-0000-0000-000014000000}"/>
    <cellStyle name="m" xfId="8" xr:uid="{00000000-0005-0000-0000-000015000000}"/>
    <cellStyle name="m_Book1" xfId="36" xr:uid="{00000000-0005-0000-0000-000016000000}"/>
    <cellStyle name="m_measure2008" xfId="37" xr:uid="{00000000-0005-0000-0000-000017000000}"/>
    <cellStyle name="m_Vord_gegevens_dialog" xfId="38" xr:uid="{00000000-0005-0000-0000-000018000000}"/>
    <cellStyle name="m_Vord_module" xfId="39" xr:uid="{00000000-0005-0000-0000-000019000000}"/>
    <cellStyle name="m1" xfId="40" xr:uid="{00000000-0005-0000-0000-00001A000000}"/>
    <cellStyle name="m2" xfId="6" xr:uid="{00000000-0005-0000-0000-00001B000000}"/>
    <cellStyle name="m²" xfId="41" xr:uid="{00000000-0005-0000-0000-00001C000000}"/>
    <cellStyle name="m2_Book1" xfId="42" xr:uid="{00000000-0005-0000-0000-00001D000000}"/>
    <cellStyle name="m3" xfId="7" xr:uid="{00000000-0005-0000-0000-00001E000000}"/>
    <cellStyle name="m³" xfId="43" xr:uid="{00000000-0005-0000-0000-00001F000000}"/>
    <cellStyle name="m3_Book1" xfId="44" xr:uid="{00000000-0005-0000-0000-000020000000}"/>
    <cellStyle name="marche" xfId="45" xr:uid="{00000000-0005-0000-0000-000021000000}"/>
    <cellStyle name="mc" xfId="46" xr:uid="{00000000-0005-0000-0000-000022000000}"/>
    <cellStyle name="mnd" xfId="47" xr:uid="{00000000-0005-0000-0000-000023000000}"/>
    <cellStyle name="mois" xfId="48" xr:uid="{00000000-0005-0000-0000-000024000000}"/>
    <cellStyle name="Multiplication" xfId="4" xr:uid="{00000000-0005-0000-0000-000025000000}"/>
    <cellStyle name="Normal 2" xfId="11" xr:uid="{00000000-0005-0000-0000-000026000000}"/>
    <cellStyle name="Normal 2 2" xfId="50" xr:uid="{00000000-0005-0000-0000-000027000000}"/>
    <cellStyle name="Normal 2 3" xfId="51" xr:uid="{00000000-0005-0000-0000-000028000000}"/>
    <cellStyle name="Normal 2 4" xfId="49" xr:uid="{00000000-0005-0000-0000-000029000000}"/>
    <cellStyle name="Normal 2_Book1" xfId="52" xr:uid="{00000000-0005-0000-0000-00002A000000}"/>
    <cellStyle name="Normal 3" xfId="53" xr:uid="{00000000-0005-0000-0000-00002B000000}"/>
    <cellStyle name="Normal 3 10" xfId="142" xr:uid="{00000000-0005-0000-0000-00002C000000}"/>
    <cellStyle name="Normal 3 2" xfId="85" xr:uid="{00000000-0005-0000-0000-00002D000000}"/>
    <cellStyle name="Normal 3 2 2" xfId="89" xr:uid="{00000000-0005-0000-0000-00002E000000}"/>
    <cellStyle name="Normal 3 2 2 2" xfId="96" xr:uid="{00000000-0005-0000-0000-00002F000000}"/>
    <cellStyle name="Normal 3 2 2 2 2" xfId="114" xr:uid="{00000000-0005-0000-0000-000030000000}"/>
    <cellStyle name="Normal 3 2 2 2 2 2" xfId="167" xr:uid="{00000000-0005-0000-0000-000031000000}"/>
    <cellStyle name="Normal 3 2 2 2 3" xfId="104" xr:uid="{00000000-0005-0000-0000-000032000000}"/>
    <cellStyle name="Normal 3 2 2 2 3 2" xfId="158" xr:uid="{00000000-0005-0000-0000-000033000000}"/>
    <cellStyle name="Normal 3 2 2 2 4" xfId="123" xr:uid="{00000000-0005-0000-0000-000034000000}"/>
    <cellStyle name="Normal 3 2 2 2 4 2" xfId="176" xr:uid="{00000000-0005-0000-0000-000035000000}"/>
    <cellStyle name="Normal 3 2 2 2 5" xfId="132" xr:uid="{00000000-0005-0000-0000-000036000000}"/>
    <cellStyle name="Normal 3 2 2 2 5 2" xfId="185" xr:uid="{00000000-0005-0000-0000-000037000000}"/>
    <cellStyle name="Normal 3 2 2 2 6" xfId="141" xr:uid="{00000000-0005-0000-0000-000038000000}"/>
    <cellStyle name="Normal 3 2 2 2 6 2" xfId="194" xr:uid="{00000000-0005-0000-0000-000039000000}"/>
    <cellStyle name="Normal 3 2 2 2 7" xfId="150" xr:uid="{00000000-0005-0000-0000-00003A000000}"/>
    <cellStyle name="Normal 3 2 2 3" xfId="110" xr:uid="{00000000-0005-0000-0000-00003B000000}"/>
    <cellStyle name="Normal 3 2 2 3 2" xfId="163" xr:uid="{00000000-0005-0000-0000-00003C000000}"/>
    <cellStyle name="Normal 3 2 2 4" xfId="100" xr:uid="{00000000-0005-0000-0000-00003D000000}"/>
    <cellStyle name="Normal 3 2 2 4 2" xfId="154" xr:uid="{00000000-0005-0000-0000-00003E000000}"/>
    <cellStyle name="Normal 3 2 2 5" xfId="119" xr:uid="{00000000-0005-0000-0000-00003F000000}"/>
    <cellStyle name="Normal 3 2 2 5 2" xfId="172" xr:uid="{00000000-0005-0000-0000-000040000000}"/>
    <cellStyle name="Normal 3 2 2 6" xfId="128" xr:uid="{00000000-0005-0000-0000-000041000000}"/>
    <cellStyle name="Normal 3 2 2 6 2" xfId="181" xr:uid="{00000000-0005-0000-0000-000042000000}"/>
    <cellStyle name="Normal 3 2 2 7" xfId="137" xr:uid="{00000000-0005-0000-0000-000043000000}"/>
    <cellStyle name="Normal 3 2 2 7 2" xfId="190" xr:uid="{00000000-0005-0000-0000-000044000000}"/>
    <cellStyle name="Normal 3 2 2 8" xfId="146" xr:uid="{00000000-0005-0000-0000-000045000000}"/>
    <cellStyle name="Normal 3 2 3" xfId="94" xr:uid="{00000000-0005-0000-0000-000046000000}"/>
    <cellStyle name="Normal 3 2 3 2" xfId="112" xr:uid="{00000000-0005-0000-0000-000047000000}"/>
    <cellStyle name="Normal 3 2 3 2 2" xfId="165" xr:uid="{00000000-0005-0000-0000-000048000000}"/>
    <cellStyle name="Normal 3 2 3 3" xfId="102" xr:uid="{00000000-0005-0000-0000-000049000000}"/>
    <cellStyle name="Normal 3 2 3 3 2" xfId="156" xr:uid="{00000000-0005-0000-0000-00004A000000}"/>
    <cellStyle name="Normal 3 2 3 4" xfId="121" xr:uid="{00000000-0005-0000-0000-00004B000000}"/>
    <cellStyle name="Normal 3 2 3 4 2" xfId="174" xr:uid="{00000000-0005-0000-0000-00004C000000}"/>
    <cellStyle name="Normal 3 2 3 5" xfId="130" xr:uid="{00000000-0005-0000-0000-00004D000000}"/>
    <cellStyle name="Normal 3 2 3 5 2" xfId="183" xr:uid="{00000000-0005-0000-0000-00004E000000}"/>
    <cellStyle name="Normal 3 2 3 6" xfId="139" xr:uid="{00000000-0005-0000-0000-00004F000000}"/>
    <cellStyle name="Normal 3 2 3 6 2" xfId="192" xr:uid="{00000000-0005-0000-0000-000050000000}"/>
    <cellStyle name="Normal 3 2 3 7" xfId="148" xr:uid="{00000000-0005-0000-0000-000051000000}"/>
    <cellStyle name="Normal 3 2 4" xfId="107" xr:uid="{00000000-0005-0000-0000-000052000000}"/>
    <cellStyle name="Normal 3 2 4 2" xfId="160" xr:uid="{00000000-0005-0000-0000-000053000000}"/>
    <cellStyle name="Normal 3 2 5" xfId="98" xr:uid="{00000000-0005-0000-0000-000054000000}"/>
    <cellStyle name="Normal 3 2 5 2" xfId="152" xr:uid="{00000000-0005-0000-0000-000055000000}"/>
    <cellStyle name="Normal 3 2 6" xfId="116" xr:uid="{00000000-0005-0000-0000-000056000000}"/>
    <cellStyle name="Normal 3 2 6 2" xfId="169" xr:uid="{00000000-0005-0000-0000-000057000000}"/>
    <cellStyle name="Normal 3 2 7" xfId="125" xr:uid="{00000000-0005-0000-0000-000058000000}"/>
    <cellStyle name="Normal 3 2 7 2" xfId="178" xr:uid="{00000000-0005-0000-0000-000059000000}"/>
    <cellStyle name="Normal 3 2 8" xfId="134" xr:uid="{00000000-0005-0000-0000-00005A000000}"/>
    <cellStyle name="Normal 3 2 8 2" xfId="187" xr:uid="{00000000-0005-0000-0000-00005B000000}"/>
    <cellStyle name="Normal 3 2 9" xfId="143" xr:uid="{00000000-0005-0000-0000-00005C000000}"/>
    <cellStyle name="Normal 3 3" xfId="88" xr:uid="{00000000-0005-0000-0000-00005D000000}"/>
    <cellStyle name="Normal 3 3 2" xfId="95" xr:uid="{00000000-0005-0000-0000-00005E000000}"/>
    <cellStyle name="Normal 3 3 2 2" xfId="113" xr:uid="{00000000-0005-0000-0000-00005F000000}"/>
    <cellStyle name="Normal 3 3 2 2 2" xfId="166" xr:uid="{00000000-0005-0000-0000-000060000000}"/>
    <cellStyle name="Normal 3 3 2 3" xfId="103" xr:uid="{00000000-0005-0000-0000-000061000000}"/>
    <cellStyle name="Normal 3 3 2 3 2" xfId="157" xr:uid="{00000000-0005-0000-0000-000062000000}"/>
    <cellStyle name="Normal 3 3 2 4" xfId="122" xr:uid="{00000000-0005-0000-0000-000063000000}"/>
    <cellStyle name="Normal 3 3 2 4 2" xfId="175" xr:uid="{00000000-0005-0000-0000-000064000000}"/>
    <cellStyle name="Normal 3 3 2 5" xfId="131" xr:uid="{00000000-0005-0000-0000-000065000000}"/>
    <cellStyle name="Normal 3 3 2 5 2" xfId="184" xr:uid="{00000000-0005-0000-0000-000066000000}"/>
    <cellStyle name="Normal 3 3 2 6" xfId="140" xr:uid="{00000000-0005-0000-0000-000067000000}"/>
    <cellStyle name="Normal 3 3 2 6 2" xfId="193" xr:uid="{00000000-0005-0000-0000-000068000000}"/>
    <cellStyle name="Normal 3 3 2 7" xfId="149" xr:uid="{00000000-0005-0000-0000-000069000000}"/>
    <cellStyle name="Normal 3 3 3" xfId="109" xr:uid="{00000000-0005-0000-0000-00006A000000}"/>
    <cellStyle name="Normal 3 3 3 2" xfId="162" xr:uid="{00000000-0005-0000-0000-00006B000000}"/>
    <cellStyle name="Normal 3 3 4" xfId="99" xr:uid="{00000000-0005-0000-0000-00006C000000}"/>
    <cellStyle name="Normal 3 3 4 2" xfId="153" xr:uid="{00000000-0005-0000-0000-00006D000000}"/>
    <cellStyle name="Normal 3 3 5" xfId="118" xr:uid="{00000000-0005-0000-0000-00006E000000}"/>
    <cellStyle name="Normal 3 3 5 2" xfId="171" xr:uid="{00000000-0005-0000-0000-00006F000000}"/>
    <cellStyle name="Normal 3 3 6" xfId="127" xr:uid="{00000000-0005-0000-0000-000070000000}"/>
    <cellStyle name="Normal 3 3 6 2" xfId="180" xr:uid="{00000000-0005-0000-0000-000071000000}"/>
    <cellStyle name="Normal 3 3 7" xfId="136" xr:uid="{00000000-0005-0000-0000-000072000000}"/>
    <cellStyle name="Normal 3 3 7 2" xfId="189" xr:uid="{00000000-0005-0000-0000-000073000000}"/>
    <cellStyle name="Normal 3 3 8" xfId="145" xr:uid="{00000000-0005-0000-0000-000074000000}"/>
    <cellStyle name="Normal 3 4" xfId="92" xr:uid="{00000000-0005-0000-0000-000075000000}"/>
    <cellStyle name="Normal 3 4 2" xfId="111" xr:uid="{00000000-0005-0000-0000-000076000000}"/>
    <cellStyle name="Normal 3 4 2 2" xfId="164" xr:uid="{00000000-0005-0000-0000-000077000000}"/>
    <cellStyle name="Normal 3 4 3" xfId="101" xr:uid="{00000000-0005-0000-0000-000078000000}"/>
    <cellStyle name="Normal 3 4 3 2" xfId="155" xr:uid="{00000000-0005-0000-0000-000079000000}"/>
    <cellStyle name="Normal 3 4 4" xfId="120" xr:uid="{00000000-0005-0000-0000-00007A000000}"/>
    <cellStyle name="Normal 3 4 4 2" xfId="173" xr:uid="{00000000-0005-0000-0000-00007B000000}"/>
    <cellStyle name="Normal 3 4 5" xfId="129" xr:uid="{00000000-0005-0000-0000-00007C000000}"/>
    <cellStyle name="Normal 3 4 5 2" xfId="182" xr:uid="{00000000-0005-0000-0000-00007D000000}"/>
    <cellStyle name="Normal 3 4 6" xfId="138" xr:uid="{00000000-0005-0000-0000-00007E000000}"/>
    <cellStyle name="Normal 3 4 6 2" xfId="191" xr:uid="{00000000-0005-0000-0000-00007F000000}"/>
    <cellStyle name="Normal 3 4 7" xfId="147" xr:uid="{00000000-0005-0000-0000-000080000000}"/>
    <cellStyle name="Normal 3 5" xfId="106" xr:uid="{00000000-0005-0000-0000-000081000000}"/>
    <cellStyle name="Normal 3 5 2" xfId="159" xr:uid="{00000000-0005-0000-0000-000082000000}"/>
    <cellStyle name="Normal 3 6" xfId="97" xr:uid="{00000000-0005-0000-0000-000083000000}"/>
    <cellStyle name="Normal 3 6 2" xfId="151" xr:uid="{00000000-0005-0000-0000-000084000000}"/>
    <cellStyle name="Normal 3 7" xfId="115" xr:uid="{00000000-0005-0000-0000-000085000000}"/>
    <cellStyle name="Normal 3 7 2" xfId="168" xr:uid="{00000000-0005-0000-0000-000086000000}"/>
    <cellStyle name="Normal 3 8" xfId="124" xr:uid="{00000000-0005-0000-0000-000087000000}"/>
    <cellStyle name="Normal 3 8 2" xfId="177" xr:uid="{00000000-0005-0000-0000-000088000000}"/>
    <cellStyle name="Normal 3 9" xfId="133" xr:uid="{00000000-0005-0000-0000-000089000000}"/>
    <cellStyle name="Normal 3 9 2" xfId="186" xr:uid="{00000000-0005-0000-0000-00008A000000}"/>
    <cellStyle name="Normal 4" xfId="86" xr:uid="{00000000-0005-0000-0000-00008B000000}"/>
    <cellStyle name="Normal 4 2" xfId="198" xr:uid="{AAD112B9-9404-4532-B487-A640A3BDAC35}"/>
    <cellStyle name="p" xfId="54" xr:uid="{00000000-0005-0000-0000-00008C000000}"/>
    <cellStyle name="PG" xfId="55" xr:uid="{00000000-0005-0000-0000-00008D000000}"/>
    <cellStyle name="pièce" xfId="56" xr:uid="{00000000-0005-0000-0000-00008E000000}"/>
    <cellStyle name="PM" xfId="18" xr:uid="{00000000-0005-0000-0000-00008F000000}"/>
    <cellStyle name="PriceIncl" xfId="12" xr:uid="{00000000-0005-0000-0000-000090000000}"/>
    <cellStyle name="PriceStyle" xfId="2" xr:uid="{00000000-0005-0000-0000-000091000000}"/>
    <cellStyle name="PriceStyle 2" xfId="57" xr:uid="{00000000-0005-0000-0000-000092000000}"/>
    <cellStyle name="PriceStyle 2 2" xfId="93" xr:uid="{00000000-0005-0000-0000-000093000000}"/>
    <cellStyle name="prijs" xfId="58" xr:uid="{00000000-0005-0000-0000-000094000000}"/>
    <cellStyle name="prijs 2" xfId="59" xr:uid="{00000000-0005-0000-0000-000095000000}"/>
    <cellStyle name="PT" xfId="60" xr:uid="{00000000-0005-0000-0000-000097000000}"/>
    <cellStyle name="semaine" xfId="61" xr:uid="{00000000-0005-0000-0000-000098000000}"/>
    <cellStyle name="SOG" xfId="13" xr:uid="{00000000-0005-0000-0000-000099000000}"/>
    <cellStyle name="SR" xfId="62" xr:uid="{00000000-0005-0000-0000-00009A000000}"/>
    <cellStyle name="st" xfId="3" xr:uid="{00000000-0005-0000-0000-00009B000000}"/>
    <cellStyle name="Standaard" xfId="0" builtinId="0"/>
    <cellStyle name="Standaard 2" xfId="14" xr:uid="{00000000-0005-0000-0000-00009D000000}"/>
    <cellStyle name="Standaard 2 2" xfId="63" xr:uid="{00000000-0005-0000-0000-00009E000000}"/>
    <cellStyle name="Standaard 3" xfId="15" xr:uid="{00000000-0005-0000-0000-00009F000000}"/>
    <cellStyle name="Standaard 4" xfId="19" xr:uid="{00000000-0005-0000-0000-0000A0000000}"/>
    <cellStyle name="Standaard 5" xfId="90" xr:uid="{00000000-0005-0000-0000-0000A1000000}"/>
    <cellStyle name="Standaard 6" xfId="105" xr:uid="{00000000-0005-0000-0000-0000A2000000}"/>
    <cellStyle name="Standaard 7" xfId="199" xr:uid="{E6AC0079-AEF3-4A44-B8C0-4115A2AA99DB}"/>
    <cellStyle name="Standaard 8" xfId="200" xr:uid="{D089975B-5906-4D53-80A9-C6BF32098D9B}"/>
    <cellStyle name="stuk" xfId="64" xr:uid="{00000000-0005-0000-0000-0000A3000000}"/>
    <cellStyle name="stuk 2" xfId="65" xr:uid="{00000000-0005-0000-0000-0000A4000000}"/>
    <cellStyle name="SubarticleStyle" xfId="66" xr:uid="{00000000-0005-0000-0000-0000A5000000}"/>
    <cellStyle name="Subartikel" xfId="67" xr:uid="{00000000-0005-0000-0000-0000A6000000}"/>
    <cellStyle name="Subartikel 2" xfId="68" xr:uid="{00000000-0005-0000-0000-0000A7000000}"/>
    <cellStyle name="Subtitel" xfId="69" xr:uid="{00000000-0005-0000-0000-0000A8000000}"/>
    <cellStyle name="Subtitel 2" xfId="70" xr:uid="{00000000-0005-0000-0000-0000A9000000}"/>
    <cellStyle name="T" xfId="71" xr:uid="{00000000-0005-0000-0000-0000AA000000}"/>
    <cellStyle name="Titel 2" xfId="73" xr:uid="{00000000-0005-0000-0000-0000AB000000}"/>
    <cellStyle name="Titel 3" xfId="72" xr:uid="{00000000-0005-0000-0000-0000AC000000}"/>
    <cellStyle name="ton" xfId="74" xr:uid="{00000000-0005-0000-0000-0000AD000000}"/>
    <cellStyle name="tonne" xfId="75" xr:uid="{00000000-0005-0000-0000-0000AE000000}"/>
    <cellStyle name="totaal 2" xfId="77" xr:uid="{00000000-0005-0000-0000-0000AF000000}"/>
    <cellStyle name="totaal 3" xfId="76" xr:uid="{00000000-0005-0000-0000-0000B0000000}"/>
    <cellStyle name="TotalStyle" xfId="5" xr:uid="{00000000-0005-0000-0000-0000B1000000}"/>
    <cellStyle name="TotalStyle 2" xfId="78" xr:uid="{00000000-0005-0000-0000-0000B2000000}"/>
    <cellStyle name="TP" xfId="79" xr:uid="{00000000-0005-0000-0000-0000B3000000}"/>
    <cellStyle name="trede" xfId="80" xr:uid="{00000000-0005-0000-0000-0000B4000000}"/>
    <cellStyle name="uur" xfId="81" xr:uid="{00000000-0005-0000-0000-0000B5000000}"/>
    <cellStyle name="Valuta 2" xfId="87" xr:uid="{00000000-0005-0000-0000-0000B6000000}"/>
    <cellStyle name="Valuta 2 2" xfId="108" xr:uid="{00000000-0005-0000-0000-0000B7000000}"/>
    <cellStyle name="Valuta 2 2 2" xfId="161" xr:uid="{00000000-0005-0000-0000-0000B8000000}"/>
    <cellStyle name="Valuta 2 3" xfId="144" xr:uid="{00000000-0005-0000-0000-0000B9000000}"/>
    <cellStyle name="Valuta 3" xfId="117" xr:uid="{00000000-0005-0000-0000-0000BA000000}"/>
    <cellStyle name="Valuta 3 2" xfId="170" xr:uid="{00000000-0005-0000-0000-0000BB000000}"/>
    <cellStyle name="Valuta 4" xfId="126" xr:uid="{00000000-0005-0000-0000-0000BC000000}"/>
    <cellStyle name="Valuta 4 2" xfId="179" xr:uid="{00000000-0005-0000-0000-0000BD000000}"/>
    <cellStyle name="Valuta 5" xfId="135" xr:uid="{00000000-0005-0000-0000-0000BE000000}"/>
    <cellStyle name="Valuta 5 2" xfId="188" xr:uid="{00000000-0005-0000-0000-0000BF000000}"/>
    <cellStyle name="W" xfId="82" xr:uid="{00000000-0005-0000-0000-0000C0000000}"/>
    <cellStyle name="week" xfId="83" xr:uid="{00000000-0005-0000-0000-0000C1000000}"/>
    <cellStyle name="Wp" xfId="10" xr:uid="{00000000-0005-0000-0000-0000C2000000}"/>
    <cellStyle name="x" xfId="84" xr:uid="{00000000-0005-0000-0000-0000C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ST\AppData\Roaming\Microsoft\Excel\XLSTART\mfunc.xla" TargetMode="External"/><Relationship Id="rId1" Type="http://schemas.microsoft.com/office/2006/relationships/xlExternalLinkPath/xlStartup" Target="mfunc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lad1"/>
      <sheetName val="Macro1"/>
      <sheetName val="Functions_languageSpecific"/>
      <sheetName val="mfunc"/>
    </sheetNames>
    <definedNames>
      <definedName name="ArticleCode"/>
      <definedName name="ArticleDescription"/>
      <definedName name="ArticleMeasureType"/>
      <definedName name="ArticleMeasureUnit"/>
      <definedName name="ArticleQuantity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M_N">
    <pageSetUpPr fitToPage="1"/>
  </sheetPr>
  <dimension ref="A1:J642"/>
  <sheetViews>
    <sheetView showZeros="0" topLeftCell="A457" zoomScale="115" zoomScaleNormal="115" workbookViewId="0">
      <selection activeCell="B471" sqref="B471"/>
    </sheetView>
  </sheetViews>
  <sheetFormatPr defaultColWidth="0" defaultRowHeight="12.75"/>
  <cols>
    <col min="1" max="1" width="8.5703125" style="1" customWidth="1"/>
    <col min="2" max="2" width="58.42578125" style="1" customWidth="1"/>
    <col min="3" max="3" width="44" style="1" customWidth="1"/>
    <col min="4" max="4" width="19.42578125" style="1" customWidth="1"/>
    <col min="5" max="6" width="10.7109375" style="1" customWidth="1"/>
    <col min="7" max="7" width="5.7109375" style="1" customWidth="1"/>
    <col min="8" max="8" width="7.28515625" style="1" customWidth="1"/>
    <col min="9" max="9" width="12.7109375" style="1" customWidth="1"/>
    <col min="10" max="10" width="1" style="1" customWidth="1"/>
    <col min="11" max="16384" width="9.140625" style="1" hidden="1"/>
  </cols>
  <sheetData>
    <row r="1" spans="1:10" ht="7.5" hidden="1" customHeight="1">
      <c r="A1" s="3" t="s">
        <v>221</v>
      </c>
      <c r="B1" s="3" t="s">
        <v>229</v>
      </c>
      <c r="C1" s="3"/>
      <c r="D1" s="3"/>
      <c r="E1" s="3"/>
      <c r="F1" s="3"/>
      <c r="G1" s="3"/>
      <c r="H1" s="3"/>
      <c r="I1" s="3"/>
      <c r="J1" s="3"/>
    </row>
    <row r="3" spans="1:10">
      <c r="A3" s="1" t="s">
        <v>3</v>
      </c>
      <c r="B3" s="26" t="s">
        <v>316</v>
      </c>
      <c r="F3" s="27"/>
    </row>
    <row r="4" spans="1:10">
      <c r="A4" s="1" t="s">
        <v>0</v>
      </c>
      <c r="B4" s="27" t="s">
        <v>319</v>
      </c>
      <c r="F4" s="27"/>
    </row>
    <row r="5" spans="1:10">
      <c r="A5" s="1" t="s">
        <v>1</v>
      </c>
      <c r="B5" s="28" t="s">
        <v>317</v>
      </c>
    </row>
    <row r="6" spans="1:10">
      <c r="A6" s="1" t="s">
        <v>2</v>
      </c>
      <c r="B6" s="28" t="s">
        <v>318</v>
      </c>
      <c r="I6" s="4"/>
      <c r="J6" s="4"/>
    </row>
    <row r="7" spans="1:10">
      <c r="A7" s="5"/>
      <c r="B7" s="5"/>
      <c r="C7" s="5"/>
      <c r="D7" s="5"/>
      <c r="E7" s="5"/>
      <c r="F7" s="5"/>
      <c r="G7" s="5"/>
      <c r="H7" s="5"/>
      <c r="I7" s="5"/>
      <c r="J7" s="5"/>
    </row>
    <row r="10" spans="1:10">
      <c r="A10" s="6" t="s">
        <v>4</v>
      </c>
      <c r="B10" s="19" t="s">
        <v>5</v>
      </c>
      <c r="C10" s="19"/>
      <c r="D10" s="19"/>
      <c r="E10" s="19"/>
      <c r="F10" s="19"/>
      <c r="G10" s="19"/>
      <c r="H10" s="19"/>
      <c r="I10" s="19"/>
    </row>
    <row r="13" spans="1:10">
      <c r="A13" s="6" t="s">
        <v>6</v>
      </c>
      <c r="B13" s="19" t="s">
        <v>7</v>
      </c>
      <c r="C13" s="19"/>
      <c r="D13" s="19"/>
      <c r="E13" s="19"/>
      <c r="F13" s="19"/>
      <c r="G13" s="19"/>
      <c r="H13" s="19"/>
      <c r="I13" s="19"/>
    </row>
    <row r="16" spans="1:10">
      <c r="A16" s="6" t="s">
        <v>8</v>
      </c>
      <c r="B16" s="19" t="s">
        <v>9</v>
      </c>
      <c r="C16" s="19"/>
      <c r="D16" s="19"/>
      <c r="E16" s="19"/>
      <c r="F16" s="19"/>
      <c r="G16" s="19"/>
      <c r="H16" s="19"/>
      <c r="I16" s="19"/>
    </row>
    <row r="19" spans="1:9">
      <c r="A19" s="6" t="s">
        <v>10</v>
      </c>
      <c r="B19" s="19" t="s">
        <v>11</v>
      </c>
      <c r="C19" s="19"/>
      <c r="D19" s="19"/>
      <c r="E19" s="19"/>
      <c r="F19" s="19"/>
      <c r="G19" s="19"/>
      <c r="H19" s="19"/>
      <c r="I19" s="19"/>
    </row>
    <row r="22" spans="1:9">
      <c r="A22" s="6" t="s">
        <v>12</v>
      </c>
      <c r="B22" s="19" t="s">
        <v>13</v>
      </c>
      <c r="C22" s="19"/>
      <c r="D22" s="19"/>
      <c r="E22" s="19"/>
      <c r="F22" s="19"/>
      <c r="G22" s="19"/>
      <c r="H22" s="19"/>
      <c r="I22" s="19"/>
    </row>
    <row r="25" spans="1:9">
      <c r="A25" s="6" t="s">
        <v>14</v>
      </c>
      <c r="B25" s="19" t="s">
        <v>15</v>
      </c>
      <c r="C25" s="19"/>
      <c r="D25" s="19"/>
      <c r="E25" s="19"/>
      <c r="F25" s="19"/>
      <c r="G25" s="19"/>
      <c r="H25" s="19"/>
      <c r="I25" s="19"/>
    </row>
    <row r="28" spans="1:9">
      <c r="A28" s="6" t="s">
        <v>16</v>
      </c>
      <c r="B28" s="19" t="s">
        <v>17</v>
      </c>
      <c r="C28" s="19"/>
      <c r="D28" s="19"/>
      <c r="E28" s="19"/>
      <c r="F28" s="19"/>
      <c r="G28" s="19"/>
      <c r="H28" s="19"/>
      <c r="I28" s="19"/>
    </row>
    <row r="31" spans="1:9">
      <c r="A31" s="6" t="s">
        <v>18</v>
      </c>
      <c r="B31" s="19" t="s">
        <v>19</v>
      </c>
      <c r="C31" s="19"/>
      <c r="D31" s="19"/>
      <c r="E31" s="19"/>
      <c r="F31" s="19"/>
      <c r="G31" s="19"/>
      <c r="H31" s="19"/>
      <c r="I31" s="19"/>
    </row>
    <row r="34" spans="1:9">
      <c r="A34" s="6" t="s">
        <v>20</v>
      </c>
      <c r="B34" s="19" t="s">
        <v>21</v>
      </c>
      <c r="C34" s="19"/>
      <c r="D34" s="19"/>
      <c r="E34" s="19"/>
      <c r="F34" s="19"/>
      <c r="G34" s="19"/>
      <c r="H34" s="19"/>
      <c r="I34" s="19"/>
    </row>
    <row r="37" spans="1:9">
      <c r="A37" s="6" t="s">
        <v>22</v>
      </c>
      <c r="B37" s="19" t="s">
        <v>23</v>
      </c>
      <c r="C37" s="19"/>
      <c r="D37" s="19"/>
      <c r="E37" s="19"/>
      <c r="F37" s="19"/>
      <c r="G37" s="19"/>
      <c r="H37" s="19"/>
      <c r="I37" s="19"/>
    </row>
    <row r="40" spans="1:9">
      <c r="A40" s="6" t="s">
        <v>24</v>
      </c>
      <c r="B40" s="19" t="s">
        <v>25</v>
      </c>
      <c r="C40" s="19"/>
      <c r="D40" s="19"/>
      <c r="E40" s="19"/>
      <c r="F40" s="19"/>
      <c r="G40" s="19"/>
      <c r="H40" s="19"/>
      <c r="I40" s="19"/>
    </row>
    <row r="43" spans="1:9">
      <c r="A43" s="6" t="s">
        <v>26</v>
      </c>
      <c r="B43" s="19" t="s">
        <v>27</v>
      </c>
      <c r="C43" s="19"/>
      <c r="D43" s="19"/>
      <c r="E43" s="19"/>
      <c r="F43" s="19"/>
      <c r="G43" s="19"/>
      <c r="H43" s="19"/>
      <c r="I43" s="19"/>
    </row>
    <row r="46" spans="1:9">
      <c r="A46" s="6" t="s">
        <v>28</v>
      </c>
      <c r="B46" s="19" t="s">
        <v>29</v>
      </c>
      <c r="C46" s="19"/>
      <c r="D46" s="19"/>
      <c r="E46" s="19"/>
      <c r="F46" s="19"/>
      <c r="G46" s="19"/>
      <c r="H46" s="19"/>
      <c r="I46" s="19"/>
    </row>
    <row r="49" spans="1:9">
      <c r="A49" s="6" t="s">
        <v>30</v>
      </c>
      <c r="B49" s="19" t="s">
        <v>31</v>
      </c>
      <c r="C49" s="19"/>
      <c r="D49" s="19"/>
      <c r="E49" s="19"/>
      <c r="F49" s="19"/>
      <c r="G49" s="19"/>
      <c r="H49" s="19"/>
      <c r="I49" s="19"/>
    </row>
    <row r="52" spans="1:9">
      <c r="A52" s="7" t="s">
        <v>32</v>
      </c>
      <c r="B52" s="19" t="s">
        <v>33</v>
      </c>
      <c r="C52" s="19"/>
      <c r="D52" s="19"/>
      <c r="E52" s="19"/>
      <c r="F52" s="19"/>
      <c r="G52" s="19"/>
      <c r="H52" s="19"/>
      <c r="I52" s="19"/>
    </row>
    <row r="53" spans="1:9">
      <c r="A53" s="2"/>
      <c r="B53" s="2"/>
      <c r="C53" s="2"/>
      <c r="D53" s="16" t="s">
        <v>74</v>
      </c>
      <c r="E53" s="12"/>
      <c r="F53" s="12"/>
      <c r="G53" s="17"/>
      <c r="H53" s="12" t="s">
        <v>227</v>
      </c>
      <c r="I53" s="10"/>
    </row>
    <row r="56" spans="1:9">
      <c r="A56" s="7" t="s">
        <v>34</v>
      </c>
      <c r="B56" s="19" t="s">
        <v>35</v>
      </c>
      <c r="C56" s="19"/>
      <c r="D56" s="19"/>
      <c r="E56" s="19"/>
      <c r="F56" s="19"/>
      <c r="G56" s="19"/>
      <c r="H56" s="19"/>
      <c r="I56" s="19"/>
    </row>
    <row r="57" spans="1:9">
      <c r="C57" s="2"/>
      <c r="D57" s="16" t="s">
        <v>74</v>
      </c>
      <c r="E57" s="12"/>
      <c r="F57" s="12"/>
      <c r="G57" s="17"/>
      <c r="H57" s="12" t="s">
        <v>227</v>
      </c>
      <c r="I57" s="10"/>
    </row>
    <row r="60" spans="1:9">
      <c r="A60" s="7" t="s">
        <v>36</v>
      </c>
      <c r="B60" s="19" t="s">
        <v>37</v>
      </c>
      <c r="C60" s="19"/>
      <c r="D60" s="19"/>
      <c r="E60" s="19"/>
      <c r="F60" s="19"/>
      <c r="G60" s="19"/>
      <c r="H60" s="19"/>
      <c r="I60" s="19"/>
    </row>
    <row r="61" spans="1:9">
      <c r="D61" s="16" t="s">
        <v>74</v>
      </c>
      <c r="E61" s="12"/>
      <c r="F61" s="12"/>
      <c r="G61" s="17"/>
      <c r="H61" s="12" t="s">
        <v>227</v>
      </c>
      <c r="I61" s="10"/>
    </row>
    <row r="64" spans="1:9">
      <c r="A64" s="7" t="s">
        <v>38</v>
      </c>
      <c r="B64" s="19" t="s">
        <v>39</v>
      </c>
      <c r="C64" s="19"/>
      <c r="D64" s="19"/>
      <c r="E64" s="19"/>
      <c r="F64" s="19"/>
      <c r="G64" s="19"/>
      <c r="H64" s="19"/>
      <c r="I64" s="19"/>
    </row>
    <row r="65" spans="1:9">
      <c r="D65" s="16" t="s">
        <v>74</v>
      </c>
      <c r="E65" s="12"/>
      <c r="F65" s="12"/>
      <c r="G65" s="17"/>
      <c r="H65" s="12" t="s">
        <v>227</v>
      </c>
      <c r="I65" s="10"/>
    </row>
    <row r="68" spans="1:9">
      <c r="A68" s="7" t="s">
        <v>40</v>
      </c>
      <c r="B68" s="19" t="s">
        <v>41</v>
      </c>
      <c r="C68" s="19"/>
      <c r="D68" s="19"/>
      <c r="E68" s="19"/>
      <c r="F68" s="19"/>
      <c r="G68" s="19"/>
      <c r="H68" s="19"/>
      <c r="I68" s="19"/>
    </row>
    <row r="69" spans="1:9">
      <c r="D69" s="16" t="s">
        <v>74</v>
      </c>
      <c r="E69" s="12"/>
      <c r="F69" s="12"/>
      <c r="G69" s="17"/>
      <c r="H69" s="12" t="s">
        <v>227</v>
      </c>
      <c r="I69" s="10"/>
    </row>
    <row r="72" spans="1:9">
      <c r="A72" s="7" t="s">
        <v>42</v>
      </c>
      <c r="B72" s="19" t="s">
        <v>43</v>
      </c>
      <c r="C72" s="19"/>
      <c r="D72" s="19"/>
      <c r="E72" s="19"/>
      <c r="F72" s="19"/>
      <c r="G72" s="19"/>
      <c r="H72" s="19"/>
      <c r="I72" s="19"/>
    </row>
    <row r="73" spans="1:9">
      <c r="D73" s="16" t="s">
        <v>74</v>
      </c>
      <c r="E73" s="12"/>
      <c r="F73" s="12"/>
      <c r="G73" s="17"/>
      <c r="H73" s="12" t="s">
        <v>227</v>
      </c>
      <c r="I73" s="10"/>
    </row>
    <row r="76" spans="1:9">
      <c r="A76" s="7" t="s">
        <v>44</v>
      </c>
      <c r="B76" s="19" t="s">
        <v>45</v>
      </c>
      <c r="C76" s="19"/>
      <c r="D76" s="19"/>
      <c r="E76" s="19"/>
      <c r="F76" s="19"/>
      <c r="G76" s="19"/>
      <c r="H76" s="19"/>
      <c r="I76" s="19"/>
    </row>
    <row r="77" spans="1:9">
      <c r="D77" s="16" t="s">
        <v>74</v>
      </c>
      <c r="E77" s="12"/>
      <c r="F77" s="12"/>
      <c r="G77" s="17"/>
      <c r="H77" s="12" t="s">
        <v>227</v>
      </c>
      <c r="I77" s="10"/>
    </row>
    <row r="80" spans="1:9">
      <c r="A80" s="7" t="s">
        <v>46</v>
      </c>
      <c r="B80" s="19" t="s">
        <v>47</v>
      </c>
      <c r="C80" s="19"/>
      <c r="D80" s="19"/>
      <c r="E80" s="19"/>
      <c r="F80" s="19"/>
      <c r="G80" s="19"/>
      <c r="H80" s="19"/>
      <c r="I80" s="19"/>
    </row>
    <row r="81" spans="1:9">
      <c r="D81" s="16" t="s">
        <v>74</v>
      </c>
      <c r="E81" s="12"/>
      <c r="F81" s="12"/>
      <c r="G81" s="17"/>
      <c r="H81" s="12" t="s">
        <v>227</v>
      </c>
      <c r="I81" s="10"/>
    </row>
    <row r="84" spans="1:9">
      <c r="A84" s="6" t="s">
        <v>48</v>
      </c>
      <c r="B84" s="19" t="s">
        <v>49</v>
      </c>
      <c r="C84" s="19"/>
      <c r="D84" s="19"/>
      <c r="E84" s="19"/>
      <c r="F84" s="19"/>
      <c r="G84" s="19"/>
      <c r="H84" s="19"/>
      <c r="I84" s="19"/>
    </row>
    <row r="87" spans="1:9">
      <c r="A87" s="7" t="s">
        <v>50</v>
      </c>
      <c r="B87" s="19" t="s">
        <v>51</v>
      </c>
      <c r="C87" s="19"/>
      <c r="D87" s="19"/>
      <c r="E87" s="19"/>
      <c r="F87" s="19"/>
      <c r="G87" s="19"/>
      <c r="H87" s="19"/>
      <c r="I87" s="19"/>
    </row>
    <row r="88" spans="1:9">
      <c r="D88" s="16" t="s">
        <v>74</v>
      </c>
      <c r="E88" s="12"/>
      <c r="F88" s="12"/>
      <c r="G88" s="17"/>
      <c r="H88" s="12" t="s">
        <v>227</v>
      </c>
      <c r="I88" s="10"/>
    </row>
    <row r="91" spans="1:9">
      <c r="A91" s="7" t="s">
        <v>52</v>
      </c>
      <c r="B91" s="19" t="s">
        <v>53</v>
      </c>
      <c r="C91" s="19"/>
      <c r="D91" s="19"/>
      <c r="E91" s="19"/>
      <c r="F91" s="19"/>
      <c r="G91" s="19"/>
      <c r="H91" s="19"/>
      <c r="I91" s="19"/>
    </row>
    <row r="92" spans="1:9">
      <c r="D92" s="16" t="s">
        <v>74</v>
      </c>
      <c r="E92" s="12"/>
      <c r="F92" s="12"/>
      <c r="G92" s="17"/>
      <c r="H92" s="12" t="s">
        <v>227</v>
      </c>
      <c r="I92" s="10"/>
    </row>
    <row r="95" spans="1:9">
      <c r="A95" s="7" t="s">
        <v>54</v>
      </c>
      <c r="B95" s="19" t="s">
        <v>55</v>
      </c>
      <c r="C95" s="19"/>
      <c r="D95" s="19"/>
      <c r="E95" s="19"/>
      <c r="F95" s="19"/>
      <c r="G95" s="19"/>
      <c r="H95" s="19"/>
      <c r="I95" s="19"/>
    </row>
    <row r="96" spans="1:9">
      <c r="D96" s="16" t="s">
        <v>74</v>
      </c>
      <c r="E96" s="12"/>
      <c r="F96" s="12"/>
      <c r="G96" s="17"/>
      <c r="H96" s="12" t="s">
        <v>227</v>
      </c>
      <c r="I96" s="10"/>
    </row>
    <row r="99" spans="1:9">
      <c r="A99" s="6" t="s">
        <v>56</v>
      </c>
      <c r="B99" s="19" t="s">
        <v>57</v>
      </c>
      <c r="C99" s="19"/>
      <c r="D99" s="19"/>
      <c r="E99" s="19"/>
      <c r="F99" s="19"/>
      <c r="G99" s="19"/>
      <c r="H99" s="19"/>
      <c r="I99" s="19"/>
    </row>
    <row r="102" spans="1:9">
      <c r="A102" s="7" t="s">
        <v>58</v>
      </c>
      <c r="B102" s="19" t="s">
        <v>59</v>
      </c>
      <c r="C102" s="19"/>
      <c r="D102" s="19"/>
      <c r="E102" s="19"/>
      <c r="F102" s="19"/>
      <c r="G102" s="19"/>
      <c r="H102" s="19"/>
      <c r="I102" s="19"/>
    </row>
    <row r="103" spans="1:9">
      <c r="D103" s="16" t="s">
        <v>74</v>
      </c>
      <c r="E103" s="12"/>
      <c r="F103" s="12"/>
      <c r="G103" s="17"/>
      <c r="H103" s="12" t="s">
        <v>227</v>
      </c>
      <c r="I103" s="10"/>
    </row>
    <row r="106" spans="1:9">
      <c r="A106" s="7" t="s">
        <v>60</v>
      </c>
      <c r="B106" s="19" t="s">
        <v>61</v>
      </c>
      <c r="C106" s="19"/>
      <c r="D106" s="19"/>
      <c r="E106" s="19"/>
      <c r="F106" s="19"/>
      <c r="G106" s="19"/>
      <c r="H106" s="19"/>
      <c r="I106" s="19"/>
    </row>
    <row r="107" spans="1:9">
      <c r="D107" s="16" t="s">
        <v>74</v>
      </c>
      <c r="E107" s="12"/>
      <c r="F107" s="12"/>
      <c r="G107" s="17"/>
      <c r="H107" s="12" t="s">
        <v>227</v>
      </c>
      <c r="I107" s="10"/>
    </row>
    <row r="110" spans="1:9">
      <c r="A110" s="7" t="s">
        <v>62</v>
      </c>
      <c r="B110" s="19" t="s">
        <v>63</v>
      </c>
      <c r="C110" s="19"/>
      <c r="D110" s="19"/>
      <c r="E110" s="19"/>
      <c r="F110" s="19"/>
      <c r="G110" s="19"/>
      <c r="H110" s="19"/>
      <c r="I110" s="19"/>
    </row>
    <row r="111" spans="1:9">
      <c r="D111" s="16" t="s">
        <v>74</v>
      </c>
      <c r="E111" s="12"/>
      <c r="F111" s="12"/>
      <c r="G111" s="17"/>
      <c r="H111" s="12" t="s">
        <v>227</v>
      </c>
      <c r="I111" s="10"/>
    </row>
    <row r="114" spans="1:9">
      <c r="A114" s="7" t="s">
        <v>64</v>
      </c>
      <c r="B114" s="19" t="s">
        <v>65</v>
      </c>
      <c r="C114" s="19"/>
      <c r="D114" s="19"/>
      <c r="E114" s="19"/>
      <c r="F114" s="19"/>
      <c r="G114" s="19"/>
      <c r="H114" s="19"/>
      <c r="I114" s="19"/>
    </row>
    <row r="115" spans="1:9">
      <c r="D115" s="16" t="s">
        <v>74</v>
      </c>
      <c r="E115" s="12"/>
      <c r="F115" s="12"/>
      <c r="G115" s="17"/>
      <c r="H115" s="12" t="s">
        <v>227</v>
      </c>
      <c r="I115" s="10"/>
    </row>
    <row r="118" spans="1:9">
      <c r="A118" s="6" t="s">
        <v>66</v>
      </c>
      <c r="B118" s="19" t="s">
        <v>67</v>
      </c>
      <c r="C118" s="19"/>
      <c r="D118" s="19"/>
      <c r="E118" s="19"/>
      <c r="F118" s="19"/>
      <c r="G118" s="19"/>
      <c r="H118" s="19"/>
      <c r="I118" s="19"/>
    </row>
    <row r="121" spans="1:9">
      <c r="A121" s="6" t="s">
        <v>68</v>
      </c>
      <c r="B121" s="19" t="s">
        <v>69</v>
      </c>
      <c r="C121" s="19"/>
      <c r="D121" s="19"/>
      <c r="E121" s="19"/>
      <c r="F121" s="19"/>
      <c r="G121" s="19"/>
      <c r="H121" s="19"/>
      <c r="I121" s="19"/>
    </row>
    <row r="124" spans="1:9">
      <c r="A124" s="6" t="s">
        <v>77</v>
      </c>
      <c r="B124" s="19" t="s">
        <v>78</v>
      </c>
      <c r="C124" s="19"/>
      <c r="D124" s="19"/>
      <c r="E124" s="19"/>
      <c r="F124" s="19"/>
      <c r="G124" s="19"/>
      <c r="H124" s="19"/>
      <c r="I124" s="19"/>
    </row>
    <row r="127" spans="1:9">
      <c r="A127" s="7" t="s">
        <v>79</v>
      </c>
      <c r="B127" s="19" t="s">
        <v>80</v>
      </c>
      <c r="C127" s="19"/>
      <c r="D127" s="19"/>
      <c r="E127" s="19"/>
      <c r="F127" s="19"/>
      <c r="G127" s="19"/>
      <c r="H127" s="19"/>
      <c r="I127" s="19"/>
    </row>
    <row r="130" spans="1:9">
      <c r="A130" s="8" t="s">
        <v>231</v>
      </c>
      <c r="B130" s="19" t="s">
        <v>230</v>
      </c>
      <c r="C130" s="19"/>
      <c r="D130" s="19"/>
      <c r="E130" s="19"/>
      <c r="F130" s="19"/>
      <c r="G130" s="19"/>
      <c r="H130" s="19"/>
      <c r="I130" s="19"/>
    </row>
    <row r="131" spans="1:9">
      <c r="D131" s="16" t="s">
        <v>74</v>
      </c>
      <c r="E131" s="12"/>
      <c r="F131" s="12"/>
      <c r="G131" s="17"/>
      <c r="H131" s="12" t="s">
        <v>227</v>
      </c>
      <c r="I131" s="10"/>
    </row>
    <row r="134" spans="1:9">
      <c r="A134" s="6" t="s">
        <v>81</v>
      </c>
      <c r="B134" s="19" t="s">
        <v>82</v>
      </c>
      <c r="C134" s="19"/>
      <c r="D134" s="19"/>
      <c r="E134" s="19"/>
      <c r="F134" s="19"/>
      <c r="G134" s="19"/>
      <c r="H134" s="19"/>
      <c r="I134" s="19"/>
    </row>
    <row r="137" spans="1:9">
      <c r="A137" s="6" t="s">
        <v>83</v>
      </c>
      <c r="B137" s="19" t="s">
        <v>84</v>
      </c>
      <c r="C137" s="19"/>
      <c r="D137" s="19"/>
      <c r="E137" s="19"/>
      <c r="F137" s="19"/>
      <c r="G137" s="19"/>
      <c r="H137" s="19"/>
      <c r="I137" s="19"/>
    </row>
    <row r="140" spans="1:9">
      <c r="A140" s="7" t="s">
        <v>85</v>
      </c>
      <c r="B140" s="19" t="s">
        <v>86</v>
      </c>
      <c r="C140" s="19"/>
      <c r="D140" s="19"/>
      <c r="E140" s="19"/>
      <c r="F140" s="19"/>
      <c r="G140" s="19"/>
      <c r="H140" s="19"/>
      <c r="I140" s="19"/>
    </row>
    <row r="141" spans="1:9">
      <c r="D141" s="16" t="s">
        <v>74</v>
      </c>
      <c r="E141" s="12"/>
      <c r="F141" s="12"/>
      <c r="G141" s="17"/>
      <c r="H141" s="12" t="s">
        <v>227</v>
      </c>
      <c r="I141" s="10"/>
    </row>
    <row r="144" spans="1:9">
      <c r="A144" s="7" t="s">
        <v>87</v>
      </c>
      <c r="B144" s="19" t="s">
        <v>88</v>
      </c>
      <c r="C144" s="19"/>
      <c r="D144" s="19"/>
      <c r="E144" s="19"/>
      <c r="F144" s="19"/>
      <c r="G144" s="19"/>
      <c r="H144" s="19"/>
      <c r="I144" s="19"/>
    </row>
    <row r="145" spans="1:9">
      <c r="D145" s="16" t="s">
        <v>74</v>
      </c>
      <c r="E145" s="12"/>
      <c r="F145" s="12"/>
      <c r="G145" s="17"/>
      <c r="H145" s="12" t="s">
        <v>227</v>
      </c>
      <c r="I145" s="10"/>
    </row>
    <row r="148" spans="1:9">
      <c r="A148" s="6" t="s">
        <v>233</v>
      </c>
      <c r="B148" s="19" t="s">
        <v>234</v>
      </c>
      <c r="C148" s="19"/>
      <c r="D148" s="19"/>
      <c r="E148" s="19"/>
      <c r="F148" s="19"/>
      <c r="G148" s="19"/>
      <c r="H148" s="19"/>
      <c r="I148" s="19"/>
    </row>
    <row r="151" spans="1:9">
      <c r="A151" s="6" t="s">
        <v>94</v>
      </c>
      <c r="B151" s="19" t="s">
        <v>95</v>
      </c>
      <c r="C151" s="19"/>
      <c r="D151" s="19"/>
      <c r="E151" s="19"/>
      <c r="F151" s="19"/>
      <c r="G151" s="19"/>
      <c r="H151" s="19"/>
      <c r="I151" s="19"/>
    </row>
    <row r="154" spans="1:9">
      <c r="A154" s="6" t="s">
        <v>96</v>
      </c>
      <c r="B154" s="19" t="s">
        <v>92</v>
      </c>
      <c r="C154" s="19"/>
      <c r="D154" s="19"/>
      <c r="E154" s="19"/>
      <c r="F154" s="19"/>
      <c r="G154" s="19"/>
      <c r="H154" s="19"/>
      <c r="I154" s="19"/>
    </row>
    <row r="157" spans="1:9">
      <c r="A157" s="7" t="s">
        <v>97</v>
      </c>
      <c r="B157" s="19" t="s">
        <v>320</v>
      </c>
      <c r="C157" s="19"/>
      <c r="D157" s="19"/>
      <c r="E157" s="19"/>
      <c r="F157" s="19"/>
      <c r="G157" s="19"/>
      <c r="H157" s="19"/>
      <c r="I157" s="19"/>
    </row>
    <row r="158" spans="1:9">
      <c r="A158" s="2"/>
      <c r="B158" s="9" t="s">
        <v>70</v>
      </c>
      <c r="C158" s="9"/>
      <c r="D158" s="20"/>
      <c r="E158" s="21" t="s">
        <v>89</v>
      </c>
      <c r="F158" s="21"/>
      <c r="G158" s="22" t="s">
        <v>71</v>
      </c>
      <c r="H158" s="23"/>
      <c r="I158" s="21" t="s">
        <v>72</v>
      </c>
    </row>
    <row r="159" spans="1:9">
      <c r="A159" s="2"/>
      <c r="B159" s="2"/>
      <c r="C159" s="2"/>
      <c r="D159" s="13"/>
      <c r="E159" s="18"/>
      <c r="F159" s="18"/>
      <c r="G159" s="14"/>
      <c r="H159" s="15"/>
      <c r="I159" s="25">
        <f>ROUND(PRODUCT(ROUND(PRODUCT(D159,E159,F159), 2),G159,H159), 2)</f>
        <v>0</v>
      </c>
    </row>
    <row r="160" spans="1:9">
      <c r="A160" s="2"/>
      <c r="B160" s="1" t="s">
        <v>252</v>
      </c>
      <c r="C160" s="2" t="s">
        <v>253</v>
      </c>
      <c r="D160" s="13"/>
      <c r="E160" s="18">
        <v>13</v>
      </c>
      <c r="F160" s="18"/>
      <c r="G160" s="14"/>
      <c r="H160" s="15"/>
      <c r="I160" s="25">
        <f t="shared" ref="I160:I163" si="0">ROUND(PRODUCT(ROUND(PRODUCT(D160,E160,F160), 2),G160,H160), 2)</f>
        <v>13</v>
      </c>
    </row>
    <row r="161" spans="1:9">
      <c r="A161" s="2"/>
      <c r="B161" s="2"/>
      <c r="C161" s="2"/>
      <c r="D161" s="13"/>
      <c r="E161" s="18"/>
      <c r="F161" s="18"/>
      <c r="G161" s="14"/>
      <c r="H161" s="15"/>
      <c r="I161" s="25">
        <f t="shared" si="0"/>
        <v>0</v>
      </c>
    </row>
    <row r="162" spans="1:9">
      <c r="A162" s="2"/>
      <c r="B162" s="2"/>
      <c r="C162" s="2"/>
      <c r="D162" s="13"/>
      <c r="E162" s="18"/>
      <c r="F162" s="18"/>
      <c r="G162" s="14"/>
      <c r="H162" s="15"/>
      <c r="I162" s="25">
        <f t="shared" si="0"/>
        <v>0</v>
      </c>
    </row>
    <row r="163" spans="1:9">
      <c r="A163" s="2"/>
      <c r="B163" s="2"/>
      <c r="C163" s="2"/>
      <c r="D163" s="13"/>
      <c r="E163" s="18"/>
      <c r="F163" s="18"/>
      <c r="G163" s="14"/>
      <c r="H163" s="15"/>
      <c r="I163" s="25">
        <f t="shared" si="0"/>
        <v>0</v>
      </c>
    </row>
    <row r="164" spans="1:9">
      <c r="A164" s="2"/>
      <c r="B164" s="2"/>
      <c r="C164" s="2"/>
      <c r="D164" s="16" t="s">
        <v>74</v>
      </c>
      <c r="E164" s="12"/>
      <c r="F164" s="12"/>
      <c r="G164" s="17" t="s">
        <v>75</v>
      </c>
      <c r="H164" s="12" t="s">
        <v>91</v>
      </c>
      <c r="I164" s="30">
        <f>SUM(I159:I163)</f>
        <v>13</v>
      </c>
    </row>
    <row r="167" spans="1:9">
      <c r="A167" s="7" t="s">
        <v>98</v>
      </c>
      <c r="B167" s="19" t="s">
        <v>254</v>
      </c>
      <c r="C167" s="19"/>
      <c r="D167" s="19"/>
      <c r="E167" s="19"/>
      <c r="F167" s="19"/>
      <c r="G167" s="19"/>
      <c r="H167" s="19"/>
      <c r="I167" s="19"/>
    </row>
    <row r="168" spans="1:9">
      <c r="D168" s="16" t="s">
        <v>74</v>
      </c>
      <c r="E168" s="12"/>
      <c r="F168" s="12"/>
      <c r="G168" s="17"/>
      <c r="H168" s="12" t="s">
        <v>227</v>
      </c>
      <c r="I168" s="10"/>
    </row>
    <row r="171" spans="1:9">
      <c r="A171" s="7" t="s">
        <v>99</v>
      </c>
      <c r="B171" s="19" t="s">
        <v>100</v>
      </c>
      <c r="C171" s="19"/>
      <c r="D171" s="19"/>
      <c r="E171" s="19"/>
      <c r="F171" s="19"/>
      <c r="G171" s="19"/>
      <c r="H171" s="19"/>
      <c r="I171" s="19"/>
    </row>
    <row r="172" spans="1:9">
      <c r="A172" s="2"/>
      <c r="B172" s="9" t="s">
        <v>70</v>
      </c>
      <c r="C172" s="9"/>
      <c r="D172" s="20" t="s">
        <v>73</v>
      </c>
      <c r="E172" s="21"/>
      <c r="F172" s="21"/>
      <c r="G172" s="22" t="s">
        <v>71</v>
      </c>
      <c r="H172" s="23"/>
      <c r="I172" s="21" t="s">
        <v>72</v>
      </c>
    </row>
    <row r="173" spans="1:9">
      <c r="A173" s="2"/>
      <c r="B173" s="2"/>
      <c r="C173" s="2"/>
      <c r="D173" s="13"/>
      <c r="E173" s="18"/>
      <c r="F173" s="18"/>
      <c r="G173" s="14"/>
      <c r="H173" s="15"/>
      <c r="I173" s="24">
        <f>ROUND(PRODUCT(ROUND(PRODUCT(D173,E173,F173), 0),G173,H173), 0)</f>
        <v>0</v>
      </c>
    </row>
    <row r="174" spans="1:9">
      <c r="A174" s="2"/>
      <c r="C174" s="2"/>
      <c r="D174" s="13">
        <v>1</v>
      </c>
      <c r="E174" s="18"/>
      <c r="F174" s="18"/>
      <c r="G174" s="14"/>
      <c r="H174" s="15"/>
      <c r="I174" s="24">
        <f t="shared" ref="I174:I177" si="1">ROUND(PRODUCT(ROUND(PRODUCT(D174,E174,F174), 0),G174,H174), 0)</f>
        <v>1</v>
      </c>
    </row>
    <row r="175" spans="1:9">
      <c r="A175" s="2"/>
      <c r="B175" s="2"/>
      <c r="C175" s="2"/>
      <c r="D175" s="13"/>
      <c r="E175" s="18"/>
      <c r="F175" s="18"/>
      <c r="G175" s="14"/>
      <c r="H175" s="15"/>
      <c r="I175" s="24">
        <f t="shared" si="1"/>
        <v>0</v>
      </c>
    </row>
    <row r="176" spans="1:9">
      <c r="A176" s="2"/>
      <c r="B176" s="2"/>
      <c r="C176" s="2"/>
      <c r="D176" s="13"/>
      <c r="E176" s="18"/>
      <c r="F176" s="18"/>
      <c r="G176" s="14"/>
      <c r="H176" s="15"/>
      <c r="I176" s="24">
        <f t="shared" si="1"/>
        <v>0</v>
      </c>
    </row>
    <row r="177" spans="1:9">
      <c r="A177" s="2"/>
      <c r="B177" s="2"/>
      <c r="C177" s="2"/>
      <c r="D177" s="13"/>
      <c r="E177" s="18"/>
      <c r="F177" s="18"/>
      <c r="G177" s="14"/>
      <c r="H177" s="15"/>
      <c r="I177" s="24">
        <f t="shared" si="1"/>
        <v>0</v>
      </c>
    </row>
    <row r="178" spans="1:9">
      <c r="A178" s="2"/>
      <c r="B178" s="2" t="s">
        <v>250</v>
      </c>
      <c r="C178" s="2"/>
      <c r="D178" s="16" t="s">
        <v>74</v>
      </c>
      <c r="E178" s="12"/>
      <c r="F178" s="12"/>
      <c r="G178" s="17" t="s">
        <v>75</v>
      </c>
      <c r="H178" s="12" t="s">
        <v>76</v>
      </c>
      <c r="I178" s="29">
        <f>SUM(I173:I177)</f>
        <v>1</v>
      </c>
    </row>
    <row r="181" spans="1:9">
      <c r="A181" s="7" t="s">
        <v>101</v>
      </c>
      <c r="B181" s="19" t="s">
        <v>321</v>
      </c>
      <c r="C181" s="19"/>
      <c r="D181" s="19"/>
      <c r="E181" s="19"/>
      <c r="F181" s="19"/>
      <c r="G181" s="19"/>
      <c r="H181" s="19"/>
      <c r="I181" s="19"/>
    </row>
    <row r="182" spans="1:9">
      <c r="A182" s="2"/>
      <c r="B182" s="9" t="s">
        <v>70</v>
      </c>
      <c r="C182" s="9"/>
      <c r="D182" s="20"/>
      <c r="E182" s="21" t="s">
        <v>89</v>
      </c>
      <c r="F182" s="21"/>
      <c r="G182" s="22" t="s">
        <v>71</v>
      </c>
      <c r="H182" s="23"/>
      <c r="I182" s="21" t="s">
        <v>72</v>
      </c>
    </row>
    <row r="183" spans="1:9">
      <c r="A183" s="2"/>
      <c r="B183" s="2"/>
      <c r="C183" s="2"/>
      <c r="D183" s="13"/>
      <c r="E183" s="18"/>
      <c r="F183" s="18"/>
      <c r="G183" s="14"/>
      <c r="H183" s="15"/>
      <c r="I183" s="25">
        <f>ROUND(PRODUCT(ROUND(PRODUCT(D183,E183,F183), 2),G183,H183), 2)</f>
        <v>0</v>
      </c>
    </row>
    <row r="184" spans="1:9">
      <c r="A184" s="2"/>
      <c r="B184" s="1" t="s">
        <v>255</v>
      </c>
      <c r="C184" s="2"/>
      <c r="D184" s="13"/>
      <c r="E184" s="18">
        <v>5</v>
      </c>
      <c r="F184" s="18"/>
      <c r="G184" s="14"/>
      <c r="H184" s="15"/>
      <c r="I184" s="25">
        <f t="shared" ref="I184:I185" si="2">ROUND(PRODUCT(ROUND(PRODUCT(D184,E184,F184), 2),G184,H184), 2)</f>
        <v>5</v>
      </c>
    </row>
    <row r="185" spans="1:9">
      <c r="A185" s="2"/>
      <c r="B185" s="2"/>
      <c r="C185" s="2"/>
      <c r="D185" s="13"/>
      <c r="E185" s="18"/>
      <c r="F185" s="18"/>
      <c r="G185" s="14"/>
      <c r="H185" s="15"/>
      <c r="I185" s="25">
        <f t="shared" si="2"/>
        <v>0</v>
      </c>
    </row>
    <row r="186" spans="1:9">
      <c r="A186" s="2"/>
      <c r="B186" s="2"/>
      <c r="C186" s="2"/>
      <c r="D186" s="16" t="s">
        <v>74</v>
      </c>
      <c r="E186" s="12"/>
      <c r="F186" s="12"/>
      <c r="G186" s="17" t="s">
        <v>75</v>
      </c>
      <c r="H186" s="12" t="s">
        <v>91</v>
      </c>
      <c r="I186" s="30">
        <f>SUM(I183:I185)</f>
        <v>5</v>
      </c>
    </row>
    <row r="189" spans="1:9">
      <c r="A189" s="6" t="s">
        <v>102</v>
      </c>
      <c r="B189" s="19" t="s">
        <v>103</v>
      </c>
      <c r="C189" s="19"/>
      <c r="D189" s="19"/>
      <c r="E189" s="19"/>
      <c r="F189" s="19"/>
      <c r="G189" s="19"/>
      <c r="H189" s="19"/>
      <c r="I189" s="19"/>
    </row>
    <row r="192" spans="1:9">
      <c r="A192" s="7" t="s">
        <v>104</v>
      </c>
      <c r="B192" s="19" t="s">
        <v>105</v>
      </c>
      <c r="C192" s="19"/>
      <c r="D192" s="19"/>
      <c r="E192" s="19"/>
      <c r="F192" s="19"/>
      <c r="G192" s="19"/>
      <c r="H192" s="19"/>
      <c r="I192" s="19"/>
    </row>
    <row r="193" spans="1:9">
      <c r="A193" s="2"/>
      <c r="B193" s="9" t="s">
        <v>70</v>
      </c>
      <c r="C193" s="9"/>
      <c r="D193" s="20" t="s">
        <v>73</v>
      </c>
      <c r="E193" s="21"/>
      <c r="F193" s="21"/>
      <c r="G193" s="22" t="s">
        <v>71</v>
      </c>
      <c r="H193" s="23"/>
      <c r="I193" s="21" t="s">
        <v>72</v>
      </c>
    </row>
    <row r="194" spans="1:9">
      <c r="A194" s="2"/>
      <c r="B194" s="2"/>
      <c r="C194" s="2"/>
      <c r="D194" s="13"/>
      <c r="E194" s="18"/>
      <c r="F194" s="18"/>
      <c r="G194" s="14"/>
      <c r="H194" s="15"/>
      <c r="I194" s="24">
        <f>ROUND(PRODUCT(ROUND(PRODUCT(D194,E194,F194), 0),G194,H194), 0)</f>
        <v>0</v>
      </c>
    </row>
    <row r="195" spans="1:9">
      <c r="A195" s="2"/>
      <c r="C195" s="2"/>
      <c r="D195" s="13">
        <v>1</v>
      </c>
      <c r="E195" s="18"/>
      <c r="F195" s="18"/>
      <c r="G195" s="14"/>
      <c r="H195" s="15"/>
      <c r="I195" s="24">
        <f t="shared" ref="I195:I197" si="3">ROUND(PRODUCT(ROUND(PRODUCT(D195,E195,F195), 0),G195,H195), 0)</f>
        <v>1</v>
      </c>
    </row>
    <row r="196" spans="1:9">
      <c r="A196" s="2"/>
      <c r="B196" s="2"/>
      <c r="C196" s="2"/>
      <c r="D196" s="13"/>
      <c r="E196" s="18"/>
      <c r="F196" s="18"/>
      <c r="G196" s="14"/>
      <c r="H196" s="15"/>
      <c r="I196" s="24">
        <f t="shared" si="3"/>
        <v>0</v>
      </c>
    </row>
    <row r="197" spans="1:9">
      <c r="A197" s="2"/>
      <c r="B197" s="2"/>
      <c r="C197" s="2"/>
      <c r="D197" s="13"/>
      <c r="E197" s="18"/>
      <c r="F197" s="18"/>
      <c r="G197" s="14"/>
      <c r="H197" s="15"/>
      <c r="I197" s="24">
        <f t="shared" si="3"/>
        <v>0</v>
      </c>
    </row>
    <row r="198" spans="1:9">
      <c r="A198" s="2"/>
      <c r="B198" s="2"/>
      <c r="C198" s="2"/>
      <c r="D198" s="16" t="s">
        <v>74</v>
      </c>
      <c r="E198" s="12"/>
      <c r="F198" s="12"/>
      <c r="G198" s="17" t="s">
        <v>75</v>
      </c>
      <c r="H198" s="12" t="s">
        <v>76</v>
      </c>
      <c r="I198" s="29">
        <f>SUM(I194:I197)</f>
        <v>1</v>
      </c>
    </row>
    <row r="201" spans="1:9">
      <c r="A201" s="6" t="s">
        <v>106</v>
      </c>
      <c r="B201" s="19" t="s">
        <v>107</v>
      </c>
      <c r="C201" s="19"/>
      <c r="D201" s="19"/>
      <c r="E201" s="19"/>
      <c r="F201" s="19"/>
      <c r="G201" s="19"/>
      <c r="H201" s="19"/>
      <c r="I201" s="19"/>
    </row>
    <row r="204" spans="1:9">
      <c r="A204" s="7" t="s">
        <v>108</v>
      </c>
      <c r="B204" s="19" t="s">
        <v>109</v>
      </c>
      <c r="C204" s="19"/>
      <c r="D204" s="19"/>
      <c r="E204" s="19"/>
      <c r="F204" s="19"/>
      <c r="G204" s="19"/>
      <c r="H204" s="19"/>
      <c r="I204" s="19"/>
    </row>
    <row r="205" spans="1:9">
      <c r="D205" s="16" t="s">
        <v>74</v>
      </c>
      <c r="E205" s="12"/>
      <c r="F205" s="12"/>
      <c r="G205" s="17"/>
      <c r="H205" s="12" t="s">
        <v>227</v>
      </c>
      <c r="I205" s="10"/>
    </row>
    <row r="208" spans="1:9">
      <c r="A208" s="7" t="s">
        <v>110</v>
      </c>
      <c r="B208" s="19" t="s">
        <v>111</v>
      </c>
      <c r="C208" s="19"/>
      <c r="D208" s="19"/>
      <c r="E208" s="19"/>
      <c r="F208" s="19"/>
      <c r="G208" s="19"/>
      <c r="H208" s="19"/>
      <c r="I208" s="19"/>
    </row>
    <row r="209" spans="1:9">
      <c r="D209" s="16" t="s">
        <v>74</v>
      </c>
      <c r="E209" s="12"/>
      <c r="F209" s="12"/>
      <c r="G209" s="17"/>
      <c r="H209" s="12" t="s">
        <v>227</v>
      </c>
      <c r="I209" s="10"/>
    </row>
    <row r="212" spans="1:9">
      <c r="A212" s="7" t="s">
        <v>112</v>
      </c>
      <c r="B212" s="19" t="s">
        <v>113</v>
      </c>
      <c r="C212" s="19"/>
      <c r="D212" s="19"/>
      <c r="E212" s="19"/>
      <c r="F212" s="19"/>
      <c r="G212" s="19"/>
      <c r="H212" s="19"/>
      <c r="I212" s="19"/>
    </row>
    <row r="213" spans="1:9">
      <c r="D213" s="16" t="s">
        <v>74</v>
      </c>
      <c r="E213" s="12"/>
      <c r="F213" s="12"/>
      <c r="G213" s="17"/>
      <c r="H213" s="12" t="s">
        <v>227</v>
      </c>
      <c r="I213" s="10"/>
    </row>
    <row r="216" spans="1:9">
      <c r="A216" s="6" t="s">
        <v>114</v>
      </c>
      <c r="B216" s="19" t="s">
        <v>115</v>
      </c>
      <c r="C216" s="19"/>
      <c r="D216" s="19"/>
      <c r="E216" s="19"/>
      <c r="F216" s="19"/>
      <c r="G216" s="19"/>
      <c r="H216" s="19"/>
      <c r="I216" s="19"/>
    </row>
    <row r="219" spans="1:9">
      <c r="A219" s="7" t="s">
        <v>116</v>
      </c>
      <c r="B219" s="19" t="s">
        <v>117</v>
      </c>
      <c r="C219" s="19"/>
      <c r="D219" s="19"/>
      <c r="E219" s="19"/>
      <c r="F219" s="19"/>
      <c r="G219" s="19"/>
      <c r="H219" s="19"/>
      <c r="I219" s="19"/>
    </row>
    <row r="220" spans="1:9">
      <c r="D220" s="16" t="s">
        <v>74</v>
      </c>
      <c r="E220" s="12"/>
      <c r="F220" s="12"/>
      <c r="G220" s="17"/>
      <c r="H220" s="12" t="s">
        <v>227</v>
      </c>
      <c r="I220" s="10"/>
    </row>
    <row r="223" spans="1:9">
      <c r="A223" s="7" t="s">
        <v>118</v>
      </c>
      <c r="B223" s="19" t="s">
        <v>119</v>
      </c>
      <c r="C223" s="19"/>
      <c r="D223" s="19"/>
      <c r="E223" s="19"/>
      <c r="F223" s="19"/>
      <c r="G223" s="19"/>
      <c r="H223" s="19"/>
      <c r="I223" s="19"/>
    </row>
    <row r="224" spans="1:9">
      <c r="D224" s="16" t="s">
        <v>74</v>
      </c>
      <c r="E224" s="12"/>
      <c r="F224" s="12"/>
      <c r="G224" s="17"/>
      <c r="H224" s="12" t="s">
        <v>227</v>
      </c>
      <c r="I224" s="10"/>
    </row>
    <row r="227" spans="1:9">
      <c r="A227" s="7" t="s">
        <v>120</v>
      </c>
      <c r="B227" s="19" t="s">
        <v>121</v>
      </c>
      <c r="C227" s="19"/>
      <c r="D227" s="19"/>
      <c r="E227" s="19"/>
      <c r="F227" s="19"/>
      <c r="G227" s="19"/>
      <c r="H227" s="19"/>
      <c r="I227" s="19"/>
    </row>
    <row r="228" spans="1:9">
      <c r="D228" s="16" t="s">
        <v>74</v>
      </c>
      <c r="E228" s="12"/>
      <c r="F228" s="12"/>
      <c r="G228" s="17"/>
      <c r="H228" s="12" t="s">
        <v>227</v>
      </c>
      <c r="I228" s="10"/>
    </row>
    <row r="231" spans="1:9">
      <c r="A231" s="7" t="s">
        <v>122</v>
      </c>
      <c r="B231" s="19" t="s">
        <v>123</v>
      </c>
      <c r="C231" s="19"/>
      <c r="D231" s="19"/>
      <c r="E231" s="19"/>
      <c r="F231" s="19"/>
      <c r="G231" s="19"/>
      <c r="H231" s="19"/>
      <c r="I231" s="19"/>
    </row>
    <row r="232" spans="1:9">
      <c r="D232" s="16" t="s">
        <v>74</v>
      </c>
      <c r="E232" s="12"/>
      <c r="F232" s="12"/>
      <c r="G232" s="17"/>
      <c r="H232" s="12" t="s">
        <v>227</v>
      </c>
      <c r="I232" s="10"/>
    </row>
    <row r="235" spans="1:9">
      <c r="A235" s="7" t="s">
        <v>124</v>
      </c>
      <c r="B235" s="19" t="s">
        <v>125</v>
      </c>
      <c r="C235" s="19"/>
      <c r="D235" s="19"/>
      <c r="E235" s="19"/>
      <c r="F235" s="19"/>
      <c r="G235" s="19"/>
      <c r="H235" s="19"/>
      <c r="I235" s="19"/>
    </row>
    <row r="236" spans="1:9">
      <c r="D236" s="16" t="s">
        <v>74</v>
      </c>
      <c r="E236" s="12"/>
      <c r="F236" s="12"/>
      <c r="G236" s="17"/>
      <c r="H236" s="12" t="s">
        <v>227</v>
      </c>
      <c r="I236" s="10"/>
    </row>
    <row r="239" spans="1:9">
      <c r="A239" s="6" t="s">
        <v>126</v>
      </c>
      <c r="B239" s="19" t="s">
        <v>127</v>
      </c>
      <c r="C239" s="19"/>
      <c r="D239" s="19"/>
      <c r="E239" s="19"/>
      <c r="F239" s="19"/>
      <c r="G239" s="19"/>
      <c r="H239" s="19"/>
      <c r="I239" s="19"/>
    </row>
    <row r="242" spans="1:9">
      <c r="A242" s="7" t="s">
        <v>128</v>
      </c>
      <c r="B242" s="19" t="s">
        <v>322</v>
      </c>
      <c r="C242" s="19"/>
      <c r="D242" s="19"/>
      <c r="E242" s="19"/>
      <c r="F242" s="19"/>
      <c r="G242" s="19"/>
      <c r="H242" s="19"/>
      <c r="I242" s="19"/>
    </row>
    <row r="243" spans="1:9">
      <c r="A243" s="2"/>
      <c r="B243" s="9" t="s">
        <v>70</v>
      </c>
      <c r="C243" s="9"/>
      <c r="D243" s="20"/>
      <c r="E243" s="21" t="s">
        <v>89</v>
      </c>
      <c r="F243" s="21"/>
      <c r="G243" s="22" t="s">
        <v>71</v>
      </c>
      <c r="H243" s="23"/>
      <c r="I243" s="21" t="s">
        <v>72</v>
      </c>
    </row>
    <row r="244" spans="1:9">
      <c r="A244" s="2"/>
      <c r="B244" s="2"/>
      <c r="C244" s="2"/>
      <c r="D244" s="13"/>
      <c r="E244" s="18"/>
      <c r="F244" s="18"/>
      <c r="G244" s="14"/>
      <c r="H244" s="15"/>
      <c r="I244" s="25">
        <f>ROUND(PRODUCT(ROUND(PRODUCT(D244,E244,F244), 2),G244,H244), 2)</f>
        <v>0</v>
      </c>
    </row>
    <row r="245" spans="1:9">
      <c r="A245" s="2"/>
      <c r="B245" s="1" t="s">
        <v>256</v>
      </c>
      <c r="C245" s="2"/>
      <c r="D245" s="13"/>
      <c r="E245" s="18"/>
      <c r="F245" s="18">
        <v>10</v>
      </c>
      <c r="G245" s="14"/>
      <c r="H245" s="15"/>
      <c r="I245" s="25">
        <f t="shared" ref="I245:I248" si="4">ROUND(PRODUCT(ROUND(PRODUCT(D245,E245,F245), 2),G245,H245), 2)</f>
        <v>10</v>
      </c>
    </row>
    <row r="246" spans="1:9">
      <c r="A246" s="2"/>
      <c r="B246" s="2"/>
      <c r="C246" s="2"/>
      <c r="D246" s="13"/>
      <c r="E246" s="18"/>
      <c r="F246" s="18">
        <v>42</v>
      </c>
      <c r="G246" s="14"/>
      <c r="H246" s="15"/>
      <c r="I246" s="25">
        <f t="shared" si="4"/>
        <v>42</v>
      </c>
    </row>
    <row r="247" spans="1:9">
      <c r="A247" s="2"/>
      <c r="B247" s="2"/>
      <c r="C247" s="2"/>
      <c r="D247" s="13"/>
      <c r="E247" s="18"/>
      <c r="F247" s="18"/>
      <c r="G247" s="14"/>
      <c r="H247" s="15"/>
      <c r="I247" s="25">
        <f t="shared" si="4"/>
        <v>0</v>
      </c>
    </row>
    <row r="248" spans="1:9">
      <c r="A248" s="2"/>
      <c r="B248" s="2"/>
      <c r="C248" s="2"/>
      <c r="D248" s="13"/>
      <c r="E248" s="18"/>
      <c r="F248" s="18"/>
      <c r="G248" s="14"/>
      <c r="H248" s="15"/>
      <c r="I248" s="25">
        <f t="shared" si="4"/>
        <v>0</v>
      </c>
    </row>
    <row r="249" spans="1:9">
      <c r="A249" s="2"/>
      <c r="B249" s="2"/>
      <c r="C249" s="2"/>
      <c r="D249" s="16" t="s">
        <v>74</v>
      </c>
      <c r="E249" s="12"/>
      <c r="F249" s="12"/>
      <c r="G249" s="17" t="s">
        <v>75</v>
      </c>
      <c r="H249" s="12" t="s">
        <v>91</v>
      </c>
      <c r="I249" s="30">
        <f>SUM(I244:I248)</f>
        <v>52</v>
      </c>
    </row>
    <row r="252" spans="1:9">
      <c r="A252" s="7" t="s">
        <v>129</v>
      </c>
      <c r="B252" s="19" t="s">
        <v>130</v>
      </c>
      <c r="C252" s="19"/>
      <c r="D252" s="19"/>
      <c r="E252" s="19"/>
      <c r="F252" s="19"/>
      <c r="G252" s="19"/>
      <c r="H252" s="19"/>
      <c r="I252" s="19"/>
    </row>
    <row r="253" spans="1:9">
      <c r="D253" s="16" t="s">
        <v>74</v>
      </c>
      <c r="E253" s="12"/>
      <c r="F253" s="12"/>
      <c r="G253" s="17"/>
      <c r="H253" s="12" t="s">
        <v>227</v>
      </c>
      <c r="I253" s="10"/>
    </row>
    <row r="256" spans="1:9">
      <c r="A256" s="7" t="s">
        <v>131</v>
      </c>
      <c r="B256" s="19" t="s">
        <v>132</v>
      </c>
      <c r="C256" s="19"/>
      <c r="D256" s="19"/>
      <c r="E256" s="19"/>
      <c r="F256" s="19"/>
      <c r="G256" s="19"/>
      <c r="H256" s="19"/>
      <c r="I256" s="19"/>
    </row>
    <row r="257" spans="1:9">
      <c r="D257" s="16" t="s">
        <v>74</v>
      </c>
      <c r="E257" s="12"/>
      <c r="F257" s="12"/>
      <c r="G257" s="17"/>
      <c r="H257" s="12" t="s">
        <v>227</v>
      </c>
      <c r="I257" s="10"/>
    </row>
    <row r="260" spans="1:9">
      <c r="A260" s="7" t="s">
        <v>133</v>
      </c>
      <c r="B260" s="19" t="s">
        <v>134</v>
      </c>
      <c r="C260" s="19"/>
      <c r="D260" s="19"/>
      <c r="E260" s="19"/>
      <c r="F260" s="19"/>
      <c r="G260" s="19"/>
      <c r="H260" s="19"/>
      <c r="I260" s="19"/>
    </row>
    <row r="261" spans="1:9">
      <c r="D261" s="16" t="s">
        <v>74</v>
      </c>
      <c r="E261" s="12"/>
      <c r="F261" s="12"/>
      <c r="G261" s="17"/>
      <c r="H261" s="12" t="s">
        <v>227</v>
      </c>
      <c r="I261" s="10"/>
    </row>
    <row r="264" spans="1:9">
      <c r="A264" s="7" t="s">
        <v>135</v>
      </c>
      <c r="B264" s="19" t="s">
        <v>136</v>
      </c>
      <c r="C264" s="19"/>
      <c r="D264" s="19"/>
      <c r="E264" s="19"/>
      <c r="F264" s="19"/>
      <c r="G264" s="19"/>
      <c r="H264" s="19"/>
      <c r="I264" s="19"/>
    </row>
    <row r="267" spans="1:9">
      <c r="A267" s="6" t="s">
        <v>137</v>
      </c>
      <c r="B267" s="19" t="s">
        <v>138</v>
      </c>
      <c r="C267" s="19"/>
      <c r="D267" s="19"/>
      <c r="E267" s="19"/>
      <c r="F267" s="19"/>
      <c r="G267" s="19"/>
      <c r="H267" s="19"/>
      <c r="I267" s="19"/>
    </row>
    <row r="270" spans="1:9">
      <c r="A270" s="7" t="s">
        <v>139</v>
      </c>
      <c r="B270" s="19" t="s">
        <v>140</v>
      </c>
      <c r="C270" s="19"/>
      <c r="D270" s="19"/>
      <c r="E270" s="19"/>
      <c r="F270" s="19"/>
      <c r="G270" s="19"/>
      <c r="H270" s="19"/>
      <c r="I270" s="19"/>
    </row>
    <row r="271" spans="1:9">
      <c r="D271" s="16" t="s">
        <v>74</v>
      </c>
      <c r="E271" s="12"/>
      <c r="F271" s="12"/>
      <c r="G271" s="17"/>
      <c r="H271" s="12" t="s">
        <v>227</v>
      </c>
      <c r="I271" s="10"/>
    </row>
    <row r="274" spans="1:9">
      <c r="A274" s="7" t="s">
        <v>141</v>
      </c>
      <c r="B274" s="19" t="s">
        <v>142</v>
      </c>
      <c r="C274" s="19"/>
      <c r="D274" s="19"/>
      <c r="E274" s="19"/>
      <c r="F274" s="19"/>
      <c r="G274" s="19"/>
      <c r="H274" s="19"/>
      <c r="I274" s="19"/>
    </row>
    <row r="275" spans="1:9">
      <c r="D275" s="16" t="s">
        <v>74</v>
      </c>
      <c r="E275" s="12"/>
      <c r="F275" s="12"/>
      <c r="G275" s="17"/>
      <c r="H275" s="12" t="s">
        <v>227</v>
      </c>
      <c r="I275" s="10"/>
    </row>
    <row r="278" spans="1:9">
      <c r="A278" s="7" t="s">
        <v>143</v>
      </c>
      <c r="B278" s="19" t="s">
        <v>144</v>
      </c>
      <c r="C278" s="19"/>
      <c r="D278" s="19"/>
      <c r="E278" s="19"/>
      <c r="F278" s="19"/>
      <c r="G278" s="19"/>
      <c r="H278" s="19"/>
      <c r="I278" s="19"/>
    </row>
    <row r="279" spans="1:9">
      <c r="D279" s="16" t="s">
        <v>74</v>
      </c>
      <c r="E279" s="12"/>
      <c r="F279" s="12"/>
      <c r="G279" s="17"/>
      <c r="H279" s="12" t="s">
        <v>227</v>
      </c>
      <c r="I279" s="10"/>
    </row>
    <row r="282" spans="1:9">
      <c r="A282" s="6" t="s">
        <v>145</v>
      </c>
      <c r="B282" s="19" t="s">
        <v>146</v>
      </c>
      <c r="C282" s="19"/>
      <c r="D282" s="19"/>
      <c r="E282" s="19"/>
      <c r="F282" s="19"/>
      <c r="G282" s="19"/>
      <c r="H282" s="19"/>
      <c r="I282" s="19"/>
    </row>
    <row r="285" spans="1:9">
      <c r="A285" s="6" t="s">
        <v>147</v>
      </c>
      <c r="B285" s="19" t="s">
        <v>148</v>
      </c>
      <c r="C285" s="19"/>
      <c r="D285" s="19"/>
      <c r="E285" s="19"/>
      <c r="F285" s="19"/>
      <c r="G285" s="19"/>
      <c r="H285" s="19"/>
      <c r="I285" s="19"/>
    </row>
    <row r="288" spans="1:9">
      <c r="A288" s="6" t="s">
        <v>149</v>
      </c>
      <c r="B288" s="19" t="s">
        <v>150</v>
      </c>
      <c r="C288" s="19"/>
      <c r="D288" s="19"/>
      <c r="E288" s="19"/>
      <c r="F288" s="19"/>
      <c r="G288" s="19"/>
      <c r="H288" s="19"/>
      <c r="I288" s="19"/>
    </row>
    <row r="291" spans="1:9">
      <c r="A291" s="7" t="s">
        <v>151</v>
      </c>
      <c r="B291" s="19" t="s">
        <v>323</v>
      </c>
      <c r="C291" s="19"/>
      <c r="D291" s="19"/>
      <c r="E291" s="19"/>
      <c r="F291" s="19"/>
      <c r="G291" s="19"/>
      <c r="H291" s="19"/>
      <c r="I291" s="19"/>
    </row>
    <row r="292" spans="1:9">
      <c r="A292" s="2"/>
      <c r="B292" s="9" t="s">
        <v>70</v>
      </c>
      <c r="C292" s="9"/>
      <c r="D292" s="20" t="s">
        <v>73</v>
      </c>
      <c r="E292" s="21"/>
      <c r="F292" s="21"/>
      <c r="G292" s="22" t="s">
        <v>71</v>
      </c>
      <c r="H292" s="23"/>
      <c r="I292" s="21" t="s">
        <v>72</v>
      </c>
    </row>
    <row r="293" spans="1:9">
      <c r="A293" s="2"/>
      <c r="B293" s="2"/>
      <c r="C293" s="2"/>
      <c r="D293" s="13"/>
      <c r="E293" s="18"/>
      <c r="F293" s="18"/>
      <c r="G293" s="14"/>
      <c r="H293" s="15"/>
      <c r="I293" s="24">
        <f>ROUND(PRODUCT(ROUND(PRODUCT(D293,E293,F293), 0),G293,H293), 0)</f>
        <v>0</v>
      </c>
    </row>
    <row r="294" spans="1:9">
      <c r="A294" s="2"/>
      <c r="C294" s="2" t="s">
        <v>284</v>
      </c>
      <c r="D294" s="13">
        <v>27</v>
      </c>
      <c r="E294" s="18"/>
      <c r="F294" s="18"/>
      <c r="G294" s="14"/>
      <c r="H294" s="15"/>
      <c r="I294" s="24">
        <f t="shared" ref="I294:I297" si="5">ROUND(PRODUCT(ROUND(PRODUCT(D294,E294,F294), 0),G294,H294), 0)</f>
        <v>27</v>
      </c>
    </row>
    <row r="295" spans="1:9">
      <c r="A295" s="2"/>
      <c r="B295" s="2"/>
      <c r="C295" s="2" t="s">
        <v>283</v>
      </c>
      <c r="D295" s="13">
        <v>29</v>
      </c>
      <c r="E295" s="18"/>
      <c r="F295" s="18"/>
      <c r="G295" s="14"/>
      <c r="H295" s="15"/>
      <c r="I295" s="24">
        <f t="shared" si="5"/>
        <v>29</v>
      </c>
    </row>
    <row r="296" spans="1:9">
      <c r="A296" s="2"/>
      <c r="B296" s="2"/>
      <c r="C296" s="2"/>
      <c r="D296" s="13"/>
      <c r="E296" s="18"/>
      <c r="F296" s="18"/>
      <c r="G296" s="14"/>
      <c r="H296" s="15"/>
      <c r="I296" s="24">
        <f t="shared" si="5"/>
        <v>0</v>
      </c>
    </row>
    <row r="297" spans="1:9">
      <c r="A297" s="2"/>
      <c r="B297" s="2"/>
      <c r="C297" s="2"/>
      <c r="D297" s="13"/>
      <c r="E297" s="18"/>
      <c r="F297" s="18"/>
      <c r="G297" s="14"/>
      <c r="H297" s="15"/>
      <c r="I297" s="24">
        <f t="shared" si="5"/>
        <v>0</v>
      </c>
    </row>
    <row r="298" spans="1:9">
      <c r="A298" s="2"/>
      <c r="B298" s="2"/>
      <c r="C298" s="2"/>
      <c r="D298" s="16" t="s">
        <v>74</v>
      </c>
      <c r="E298" s="12"/>
      <c r="F298" s="12"/>
      <c r="G298" s="17" t="s">
        <v>75</v>
      </c>
      <c r="H298" s="12" t="s">
        <v>76</v>
      </c>
      <c r="I298" s="29">
        <f>SUM(I293:I297)</f>
        <v>56</v>
      </c>
    </row>
    <row r="301" spans="1:9">
      <c r="A301" s="7" t="s">
        <v>224</v>
      </c>
      <c r="B301" s="19" t="s">
        <v>152</v>
      </c>
      <c r="C301" s="19"/>
      <c r="D301" s="19" t="s">
        <v>73</v>
      </c>
      <c r="E301" s="19"/>
      <c r="F301" s="19"/>
      <c r="G301" s="19"/>
      <c r="H301" s="19"/>
      <c r="I301" s="19"/>
    </row>
    <row r="302" spans="1:9">
      <c r="A302" s="2"/>
      <c r="B302" s="2"/>
      <c r="C302" s="2"/>
      <c r="D302" s="13"/>
      <c r="E302" s="18"/>
      <c r="F302" s="18"/>
      <c r="G302" s="14"/>
      <c r="H302" s="15"/>
      <c r="I302" s="24">
        <f>ROUND(PRODUCT(ROUND(PRODUCT(D302,E302,F302), 0),G302,H302), 0)</f>
        <v>0</v>
      </c>
    </row>
    <row r="303" spans="1:9">
      <c r="A303" s="2"/>
      <c r="B303" s="1" t="s">
        <v>232</v>
      </c>
      <c r="C303" s="2"/>
      <c r="D303" s="13">
        <v>2</v>
      </c>
      <c r="E303" s="18"/>
      <c r="F303" s="18"/>
      <c r="G303" s="14"/>
      <c r="H303" s="15"/>
      <c r="I303" s="24">
        <f t="shared" ref="I303:I306" si="6">ROUND(PRODUCT(ROUND(PRODUCT(D303,E303,F303), 0),G303,H303), 0)</f>
        <v>2</v>
      </c>
    </row>
    <row r="304" spans="1:9">
      <c r="A304" s="2"/>
      <c r="B304" s="2"/>
      <c r="C304" s="2"/>
      <c r="D304" s="13"/>
      <c r="E304" s="18"/>
      <c r="F304" s="18"/>
      <c r="G304" s="14"/>
      <c r="H304" s="15"/>
      <c r="I304" s="24">
        <f t="shared" si="6"/>
        <v>0</v>
      </c>
    </row>
    <row r="305" spans="1:9">
      <c r="A305" s="2"/>
      <c r="B305" s="2"/>
      <c r="C305" s="2"/>
      <c r="D305" s="13"/>
      <c r="E305" s="18"/>
      <c r="F305" s="18"/>
      <c r="G305" s="14"/>
      <c r="H305" s="15"/>
      <c r="I305" s="24">
        <f t="shared" si="6"/>
        <v>0</v>
      </c>
    </row>
    <row r="306" spans="1:9">
      <c r="A306" s="2"/>
      <c r="B306" s="2"/>
      <c r="C306" s="2"/>
      <c r="D306" s="13"/>
      <c r="E306" s="18"/>
      <c r="F306" s="18"/>
      <c r="G306" s="14"/>
      <c r="H306" s="15"/>
      <c r="I306" s="24">
        <f t="shared" si="6"/>
        <v>0</v>
      </c>
    </row>
    <row r="307" spans="1:9">
      <c r="A307" s="2"/>
      <c r="B307" s="2"/>
      <c r="C307" s="2"/>
      <c r="D307" s="16" t="s">
        <v>74</v>
      </c>
      <c r="E307" s="12"/>
      <c r="F307" s="12"/>
      <c r="G307" s="17" t="s">
        <v>75</v>
      </c>
      <c r="H307" s="12" t="s">
        <v>76</v>
      </c>
      <c r="I307" s="29">
        <f>SUM(I302:I306)</f>
        <v>2</v>
      </c>
    </row>
    <row r="310" spans="1:9">
      <c r="A310" s="6" t="s">
        <v>153</v>
      </c>
      <c r="B310" s="19" t="s">
        <v>154</v>
      </c>
      <c r="C310" s="19"/>
      <c r="D310" s="19"/>
      <c r="E310" s="19"/>
      <c r="F310" s="19"/>
      <c r="G310" s="19"/>
      <c r="H310" s="19"/>
      <c r="I310" s="19"/>
    </row>
    <row r="313" spans="1:9">
      <c r="A313" s="7" t="s">
        <v>155</v>
      </c>
      <c r="B313" s="19" t="s">
        <v>324</v>
      </c>
      <c r="C313" s="19"/>
      <c r="D313" s="19"/>
      <c r="E313" s="19"/>
      <c r="F313" s="19"/>
      <c r="G313" s="19"/>
      <c r="H313" s="19"/>
      <c r="I313" s="19"/>
    </row>
    <row r="314" spans="1:9">
      <c r="A314" s="2"/>
      <c r="B314" s="9" t="s">
        <v>70</v>
      </c>
      <c r="C314" s="9"/>
      <c r="D314" s="20" t="s">
        <v>73</v>
      </c>
      <c r="E314" s="21"/>
      <c r="F314" s="21"/>
      <c r="G314" s="22" t="s">
        <v>71</v>
      </c>
      <c r="H314" s="23"/>
      <c r="I314" s="21" t="s">
        <v>72</v>
      </c>
    </row>
    <row r="315" spans="1:9">
      <c r="A315" s="2"/>
      <c r="B315" s="2"/>
      <c r="C315" s="2"/>
      <c r="D315" s="13"/>
      <c r="E315" s="18"/>
      <c r="F315" s="18"/>
      <c r="G315" s="14"/>
      <c r="H315" s="15"/>
      <c r="I315" s="24">
        <f>ROUND(PRODUCT(ROUND(PRODUCT(D315,E315,F315), 0),G315,H315), 0)</f>
        <v>0</v>
      </c>
    </row>
    <row r="316" spans="1:9">
      <c r="A316" s="2"/>
      <c r="C316" s="2"/>
      <c r="D316" s="13">
        <v>1</v>
      </c>
      <c r="E316" s="18"/>
      <c r="F316" s="18"/>
      <c r="G316" s="14"/>
      <c r="H316" s="15"/>
      <c r="I316" s="24">
        <f t="shared" ref="I316:I317" si="7">ROUND(PRODUCT(ROUND(PRODUCT(D316,E316,F316), 0),G316,H316), 0)</f>
        <v>1</v>
      </c>
    </row>
    <row r="317" spans="1:9">
      <c r="A317" s="2"/>
      <c r="B317" s="2"/>
      <c r="C317" s="2"/>
      <c r="D317" s="13"/>
      <c r="E317" s="18"/>
      <c r="F317" s="18"/>
      <c r="G317" s="14"/>
      <c r="H317" s="15"/>
      <c r="I317" s="24">
        <f t="shared" si="7"/>
        <v>0</v>
      </c>
    </row>
    <row r="318" spans="1:9">
      <c r="A318" s="2"/>
      <c r="B318" s="2"/>
      <c r="C318" s="2"/>
      <c r="D318" s="16" t="s">
        <v>74</v>
      </c>
      <c r="E318" s="12"/>
      <c r="F318" s="12"/>
      <c r="G318" s="17" t="s">
        <v>75</v>
      </c>
      <c r="H318" s="12" t="s">
        <v>76</v>
      </c>
      <c r="I318" s="29">
        <f>SUM(I315:I317)</f>
        <v>1</v>
      </c>
    </row>
    <row r="321" spans="1:9">
      <c r="A321" s="7" t="s">
        <v>156</v>
      </c>
      <c r="B321" s="19" t="s">
        <v>325</v>
      </c>
      <c r="C321" s="19"/>
      <c r="D321" s="19"/>
      <c r="E321" s="19"/>
      <c r="F321" s="19"/>
      <c r="G321" s="19"/>
      <c r="H321" s="19"/>
      <c r="I321" s="19"/>
    </row>
    <row r="322" spans="1:9">
      <c r="A322" s="2"/>
      <c r="B322" s="9" t="s">
        <v>70</v>
      </c>
      <c r="C322" s="9"/>
      <c r="D322" s="20" t="s">
        <v>73</v>
      </c>
      <c r="E322" s="21"/>
      <c r="F322" s="21"/>
      <c r="G322" s="22" t="s">
        <v>71</v>
      </c>
      <c r="H322" s="23"/>
      <c r="I322" s="21" t="s">
        <v>72</v>
      </c>
    </row>
    <row r="323" spans="1:9">
      <c r="A323" s="2"/>
      <c r="B323" s="2"/>
      <c r="C323" s="2"/>
      <c r="D323" s="13"/>
      <c r="E323" s="18"/>
      <c r="F323" s="18"/>
      <c r="G323" s="14"/>
      <c r="H323" s="15"/>
      <c r="I323" s="24">
        <f>ROUND(PRODUCT(ROUND(PRODUCT(D323,E323,F323), 0),G323,H323), 0)</f>
        <v>0</v>
      </c>
    </row>
    <row r="324" spans="1:9">
      <c r="A324" s="2"/>
      <c r="B324" s="1" t="s">
        <v>238</v>
      </c>
      <c r="C324" s="2"/>
      <c r="D324" s="13">
        <v>1</v>
      </c>
      <c r="E324" s="18"/>
      <c r="F324" s="18"/>
      <c r="G324" s="14"/>
      <c r="H324" s="15"/>
      <c r="I324" s="24">
        <f t="shared" ref="I324:I326" si="8">ROUND(PRODUCT(ROUND(PRODUCT(D324,E324,F324), 0),G324,H324), 0)</f>
        <v>1</v>
      </c>
    </row>
    <row r="325" spans="1:9">
      <c r="A325" s="2"/>
      <c r="B325" s="2" t="s">
        <v>239</v>
      </c>
      <c r="C325" s="2"/>
      <c r="D325" s="13">
        <v>1</v>
      </c>
      <c r="E325" s="18"/>
      <c r="F325" s="18"/>
      <c r="G325" s="14"/>
      <c r="H325" s="15"/>
      <c r="I325" s="24">
        <f t="shared" si="8"/>
        <v>1</v>
      </c>
    </row>
    <row r="326" spans="1:9">
      <c r="A326" s="2"/>
      <c r="B326" s="2" t="s">
        <v>240</v>
      </c>
      <c r="C326" s="2"/>
      <c r="D326" s="13">
        <v>1</v>
      </c>
      <c r="E326" s="18"/>
      <c r="F326" s="18"/>
      <c r="G326" s="14"/>
      <c r="H326" s="15"/>
      <c r="I326" s="24">
        <f t="shared" si="8"/>
        <v>1</v>
      </c>
    </row>
    <row r="327" spans="1:9">
      <c r="A327" s="2"/>
      <c r="B327" s="2" t="s">
        <v>241</v>
      </c>
      <c r="C327" s="2"/>
      <c r="D327" s="13">
        <v>1</v>
      </c>
      <c r="E327" s="18"/>
      <c r="F327" s="18"/>
      <c r="G327" s="14"/>
      <c r="H327" s="15"/>
      <c r="I327" s="24">
        <f>ROUND(PRODUCT(ROUND(PRODUCT(D327,E327,F327), 0),G327,H327), 0)</f>
        <v>1</v>
      </c>
    </row>
    <row r="328" spans="1:9">
      <c r="A328" s="2"/>
      <c r="B328" s="1" t="s">
        <v>285</v>
      </c>
      <c r="C328" s="2"/>
      <c r="D328" s="13">
        <v>1</v>
      </c>
      <c r="E328" s="18"/>
      <c r="F328" s="18"/>
      <c r="G328" s="14"/>
      <c r="H328" s="15"/>
      <c r="I328" s="24">
        <f t="shared" ref="I328:I332" si="9">ROUND(PRODUCT(ROUND(PRODUCT(D328,E328,F328), 0),G328,H328), 0)</f>
        <v>1</v>
      </c>
    </row>
    <row r="329" spans="1:9">
      <c r="A329" s="2"/>
      <c r="B329" s="2" t="s">
        <v>242</v>
      </c>
      <c r="C329" s="2"/>
      <c r="D329" s="13">
        <v>1</v>
      </c>
      <c r="E329" s="18"/>
      <c r="F329" s="18"/>
      <c r="G329" s="14"/>
      <c r="H329" s="15"/>
      <c r="I329" s="24">
        <f t="shared" si="9"/>
        <v>1</v>
      </c>
    </row>
    <row r="330" spans="1:9">
      <c r="A330" s="2"/>
      <c r="B330" s="2" t="s">
        <v>243</v>
      </c>
      <c r="C330" s="2"/>
      <c r="D330" s="13">
        <v>1</v>
      </c>
      <c r="E330" s="18"/>
      <c r="F330" s="18"/>
      <c r="G330" s="14"/>
      <c r="H330" s="15"/>
      <c r="I330" s="24">
        <f t="shared" ref="I330" si="10">ROUND(PRODUCT(ROUND(PRODUCT(D330,E330,F330), 0),G330,H330), 0)</f>
        <v>1</v>
      </c>
    </row>
    <row r="331" spans="1:9">
      <c r="A331" s="2"/>
      <c r="B331" s="2" t="s">
        <v>257</v>
      </c>
      <c r="C331" s="2"/>
      <c r="D331" s="13">
        <v>2</v>
      </c>
      <c r="E331" s="18"/>
      <c r="F331" s="18"/>
      <c r="G331" s="14"/>
      <c r="H331" s="15"/>
      <c r="I331" s="24">
        <f t="shared" si="9"/>
        <v>2</v>
      </c>
    </row>
    <row r="332" spans="1:9">
      <c r="A332" s="2"/>
      <c r="B332" s="2" t="s">
        <v>240</v>
      </c>
      <c r="C332" s="2"/>
      <c r="D332" s="13"/>
      <c r="E332" s="18"/>
      <c r="F332" s="18"/>
      <c r="G332" s="14"/>
      <c r="H332" s="15"/>
      <c r="I332" s="24">
        <f t="shared" si="9"/>
        <v>0</v>
      </c>
    </row>
    <row r="333" spans="1:9">
      <c r="A333" s="2"/>
      <c r="B333" s="2"/>
      <c r="C333" s="2"/>
      <c r="D333" s="16" t="s">
        <v>74</v>
      </c>
      <c r="E333" s="12"/>
      <c r="F333" s="12"/>
      <c r="G333" s="17" t="s">
        <v>75</v>
      </c>
      <c r="H333" s="12" t="s">
        <v>76</v>
      </c>
      <c r="I333" s="29">
        <f>SUM(I323:I332)</f>
        <v>9</v>
      </c>
    </row>
    <row r="336" spans="1:9">
      <c r="A336" s="6" t="s">
        <v>157</v>
      </c>
      <c r="B336" s="19" t="s">
        <v>158</v>
      </c>
      <c r="C336" s="19"/>
      <c r="D336" s="19"/>
      <c r="E336" s="19"/>
      <c r="F336" s="19"/>
      <c r="G336" s="19"/>
      <c r="H336" s="19"/>
      <c r="I336" s="19"/>
    </row>
    <row r="339" spans="1:9">
      <c r="A339" s="7" t="s">
        <v>159</v>
      </c>
      <c r="B339" s="19" t="s">
        <v>326</v>
      </c>
      <c r="C339" s="19"/>
      <c r="D339" s="19"/>
      <c r="E339" s="19"/>
      <c r="F339" s="19"/>
      <c r="G339" s="19"/>
      <c r="H339" s="19"/>
      <c r="I339" s="19"/>
    </row>
    <row r="340" spans="1:9">
      <c r="A340" s="2"/>
      <c r="B340" s="9" t="s">
        <v>70</v>
      </c>
      <c r="C340" s="9"/>
      <c r="D340" s="20" t="s">
        <v>73</v>
      </c>
      <c r="E340" s="21"/>
      <c r="F340" s="21"/>
      <c r="G340" s="22" t="s">
        <v>71</v>
      </c>
      <c r="H340" s="23"/>
      <c r="I340" s="21" t="s">
        <v>72</v>
      </c>
    </row>
    <row r="341" spans="1:9">
      <c r="A341" s="2"/>
      <c r="B341" s="2"/>
      <c r="C341" s="2"/>
      <c r="D341" s="13"/>
      <c r="E341" s="18"/>
      <c r="F341" s="18"/>
      <c r="G341" s="14"/>
      <c r="H341" s="15"/>
      <c r="I341" s="24">
        <f>ROUND(PRODUCT(ROUND(PRODUCT(D341,E341,F341), 0),G341,H341), 0)</f>
        <v>0</v>
      </c>
    </row>
    <row r="342" spans="1:9">
      <c r="A342" s="2"/>
      <c r="C342" s="2"/>
      <c r="D342" s="13">
        <v>11</v>
      </c>
      <c r="E342" s="18"/>
      <c r="F342" s="18"/>
      <c r="G342" s="14"/>
      <c r="H342" s="15"/>
      <c r="I342" s="24">
        <f t="shared" ref="I342:I345" si="11">ROUND(PRODUCT(ROUND(PRODUCT(D342,E342,F342), 0),G342,H342), 0)</f>
        <v>11</v>
      </c>
    </row>
    <row r="343" spans="1:9">
      <c r="A343" s="2"/>
      <c r="B343" s="2"/>
      <c r="C343" s="2"/>
      <c r="D343" s="13"/>
      <c r="E343" s="18"/>
      <c r="F343" s="18"/>
      <c r="G343" s="14"/>
      <c r="H343" s="15"/>
      <c r="I343" s="24">
        <f t="shared" si="11"/>
        <v>0</v>
      </c>
    </row>
    <row r="344" spans="1:9">
      <c r="A344" s="2"/>
      <c r="B344" s="2"/>
      <c r="C344" s="2"/>
      <c r="D344" s="13"/>
      <c r="E344" s="18"/>
      <c r="F344" s="18"/>
      <c r="G344" s="14"/>
      <c r="H344" s="15"/>
      <c r="I344" s="24">
        <f t="shared" si="11"/>
        <v>0</v>
      </c>
    </row>
    <row r="345" spans="1:9">
      <c r="A345" s="2"/>
      <c r="B345" s="2"/>
      <c r="C345" s="2"/>
      <c r="D345" s="13"/>
      <c r="E345" s="18"/>
      <c r="F345" s="18"/>
      <c r="G345" s="14"/>
      <c r="H345" s="15"/>
      <c r="I345" s="24">
        <f t="shared" si="11"/>
        <v>0</v>
      </c>
    </row>
    <row r="346" spans="1:9">
      <c r="A346" s="2"/>
      <c r="B346" s="2"/>
      <c r="C346" s="2"/>
      <c r="D346" s="16" t="s">
        <v>74</v>
      </c>
      <c r="E346" s="12"/>
      <c r="F346" s="12"/>
      <c r="G346" s="17" t="s">
        <v>75</v>
      </c>
      <c r="H346" s="12" t="s">
        <v>76</v>
      </c>
      <c r="I346" s="29">
        <f>SUM(I341:I345)</f>
        <v>11</v>
      </c>
    </row>
    <row r="349" spans="1:9">
      <c r="A349" s="7" t="s">
        <v>160</v>
      </c>
      <c r="B349" s="19" t="s">
        <v>327</v>
      </c>
      <c r="C349" s="19"/>
      <c r="D349" s="19"/>
      <c r="E349" s="19"/>
      <c r="F349" s="19"/>
      <c r="G349" s="19"/>
      <c r="H349" s="19"/>
      <c r="I349" s="19"/>
    </row>
    <row r="350" spans="1:9">
      <c r="A350" s="2"/>
      <c r="B350" s="9" t="s">
        <v>70</v>
      </c>
      <c r="C350" s="9"/>
      <c r="D350" s="20" t="s">
        <v>73</v>
      </c>
      <c r="E350" s="21"/>
      <c r="F350" s="21"/>
      <c r="G350" s="22" t="s">
        <v>71</v>
      </c>
      <c r="H350" s="23"/>
      <c r="I350" s="21" t="s">
        <v>72</v>
      </c>
    </row>
    <row r="351" spans="1:9">
      <c r="A351" s="2"/>
      <c r="B351" s="2"/>
      <c r="C351" s="2"/>
      <c r="D351" s="13"/>
      <c r="E351" s="18"/>
      <c r="F351" s="18"/>
      <c r="G351" s="14"/>
      <c r="H351" s="15"/>
      <c r="I351" s="24">
        <f>ROUND(PRODUCT(ROUND(PRODUCT(D351,E351,F351), 0),G351,H351), 0)</f>
        <v>0</v>
      </c>
    </row>
    <row r="352" spans="1:9">
      <c r="A352" s="2"/>
      <c r="B352" s="1" t="s">
        <v>244</v>
      </c>
      <c r="C352" s="2" t="s">
        <v>258</v>
      </c>
      <c r="D352" s="13">
        <v>1</v>
      </c>
      <c r="E352" s="18"/>
      <c r="F352" s="18"/>
      <c r="G352" s="14"/>
      <c r="H352" s="15"/>
      <c r="I352" s="24">
        <f t="shared" ref="I352:I355" si="12">ROUND(PRODUCT(ROUND(PRODUCT(D352,E352,F352), 0),G352,H352), 0)</f>
        <v>1</v>
      </c>
    </row>
    <row r="353" spans="1:9">
      <c r="A353" s="2"/>
      <c r="B353" s="2"/>
      <c r="C353" s="2" t="s">
        <v>259</v>
      </c>
      <c r="D353" s="13">
        <v>1</v>
      </c>
      <c r="E353" s="18"/>
      <c r="F353" s="18"/>
      <c r="G353" s="14"/>
      <c r="H353" s="15"/>
      <c r="I353" s="24">
        <f t="shared" si="12"/>
        <v>1</v>
      </c>
    </row>
    <row r="354" spans="1:9">
      <c r="A354" s="2"/>
      <c r="B354" s="2"/>
      <c r="C354" s="2"/>
      <c r="D354" s="13"/>
      <c r="E354" s="18"/>
      <c r="F354" s="18"/>
      <c r="G354" s="14"/>
      <c r="H354" s="15"/>
      <c r="I354" s="24">
        <f t="shared" si="12"/>
        <v>0</v>
      </c>
    </row>
    <row r="355" spans="1:9">
      <c r="A355" s="2"/>
      <c r="B355" s="2"/>
      <c r="C355" s="2"/>
      <c r="D355" s="13"/>
      <c r="E355" s="18"/>
      <c r="F355" s="18"/>
      <c r="G355" s="14"/>
      <c r="H355" s="15"/>
      <c r="I355" s="24">
        <f t="shared" si="12"/>
        <v>0</v>
      </c>
    </row>
    <row r="356" spans="1:9">
      <c r="A356" s="2"/>
      <c r="B356" s="2"/>
      <c r="C356" s="2"/>
      <c r="D356" s="16" t="s">
        <v>74</v>
      </c>
      <c r="E356" s="12"/>
      <c r="F356" s="12"/>
      <c r="G356" s="17" t="s">
        <v>75</v>
      </c>
      <c r="H356" s="12" t="s">
        <v>76</v>
      </c>
      <c r="I356" s="29">
        <f>SUM(I351:I355)</f>
        <v>2</v>
      </c>
    </row>
    <row r="359" spans="1:9">
      <c r="A359" s="7" t="s">
        <v>161</v>
      </c>
      <c r="B359" s="19" t="s">
        <v>328</v>
      </c>
      <c r="C359" s="19"/>
      <c r="D359" s="19"/>
      <c r="E359" s="19"/>
      <c r="F359" s="19"/>
      <c r="G359" s="19"/>
      <c r="H359" s="19"/>
      <c r="I359" s="19"/>
    </row>
    <row r="360" spans="1:9">
      <c r="A360" s="2"/>
      <c r="B360" s="9" t="s">
        <v>70</v>
      </c>
      <c r="C360" s="9"/>
      <c r="D360" s="20" t="s">
        <v>73</v>
      </c>
      <c r="E360" s="21"/>
      <c r="F360" s="21"/>
      <c r="G360" s="22" t="s">
        <v>71</v>
      </c>
      <c r="H360" s="23"/>
      <c r="I360" s="21" t="s">
        <v>72</v>
      </c>
    </row>
    <row r="361" spans="1:9">
      <c r="A361" s="2"/>
      <c r="B361" s="2"/>
      <c r="C361" s="2"/>
      <c r="D361" s="13"/>
      <c r="E361" s="18"/>
      <c r="F361" s="18"/>
      <c r="G361" s="14"/>
      <c r="H361" s="15"/>
      <c r="I361" s="24">
        <f>ROUND(PRODUCT(ROUND(PRODUCT(D361,E361,F361), 0),G361,H361), 0)</f>
        <v>0</v>
      </c>
    </row>
    <row r="362" spans="1:9">
      <c r="A362" s="2"/>
      <c r="B362" s="1" t="s">
        <v>245</v>
      </c>
      <c r="C362" s="2"/>
      <c r="D362" s="13">
        <v>2</v>
      </c>
      <c r="E362" s="18"/>
      <c r="F362" s="18"/>
      <c r="G362" s="14"/>
      <c r="H362" s="15"/>
      <c r="I362" s="24">
        <f t="shared" ref="I362:I365" si="13">ROUND(PRODUCT(ROUND(PRODUCT(D362,E362,F362), 0),G362,H362), 0)</f>
        <v>2</v>
      </c>
    </row>
    <row r="363" spans="1:9">
      <c r="A363" s="2"/>
      <c r="B363" s="2"/>
      <c r="C363" s="2"/>
      <c r="D363" s="13"/>
      <c r="E363" s="18"/>
      <c r="F363" s="18"/>
      <c r="G363" s="14"/>
      <c r="H363" s="15"/>
      <c r="I363" s="24">
        <f t="shared" si="13"/>
        <v>0</v>
      </c>
    </row>
    <row r="364" spans="1:9">
      <c r="A364" s="2"/>
      <c r="B364" s="2"/>
      <c r="C364" s="2"/>
      <c r="D364" s="13"/>
      <c r="E364" s="18"/>
      <c r="F364" s="18"/>
      <c r="G364" s="14"/>
      <c r="H364" s="15"/>
      <c r="I364" s="24">
        <f t="shared" si="13"/>
        <v>0</v>
      </c>
    </row>
    <row r="365" spans="1:9">
      <c r="A365" s="2"/>
      <c r="B365" s="2"/>
      <c r="C365" s="2"/>
      <c r="D365" s="13"/>
      <c r="E365" s="18"/>
      <c r="F365" s="18"/>
      <c r="G365" s="14"/>
      <c r="H365" s="15"/>
      <c r="I365" s="24">
        <f t="shared" si="13"/>
        <v>0</v>
      </c>
    </row>
    <row r="366" spans="1:9">
      <c r="A366" s="2"/>
      <c r="B366" s="2"/>
      <c r="C366" s="2"/>
      <c r="D366" s="16" t="s">
        <v>74</v>
      </c>
      <c r="E366" s="12"/>
      <c r="F366" s="12"/>
      <c r="G366" s="17" t="s">
        <v>75</v>
      </c>
      <c r="H366" s="12" t="s">
        <v>76</v>
      </c>
      <c r="I366" s="29">
        <f>SUM(I361:I365)</f>
        <v>2</v>
      </c>
    </row>
    <row r="369" spans="1:9">
      <c r="A369" s="6" t="s">
        <v>162</v>
      </c>
      <c r="B369" s="19" t="s">
        <v>93</v>
      </c>
      <c r="C369" s="19"/>
      <c r="D369" s="19"/>
      <c r="E369" s="19"/>
      <c r="F369" s="19"/>
      <c r="G369" s="19"/>
      <c r="H369" s="19"/>
      <c r="I369" s="19"/>
    </row>
    <row r="372" spans="1:9">
      <c r="A372" s="8" t="s">
        <v>163</v>
      </c>
      <c r="B372" s="19" t="s">
        <v>329</v>
      </c>
      <c r="C372" s="19"/>
      <c r="D372" s="19"/>
      <c r="E372" s="19"/>
      <c r="F372" s="19"/>
      <c r="G372" s="19"/>
      <c r="H372" s="19"/>
      <c r="I372" s="19"/>
    </row>
    <row r="373" spans="1:9">
      <c r="A373" s="2"/>
      <c r="B373" s="9" t="s">
        <v>70</v>
      </c>
      <c r="C373" s="9"/>
      <c r="D373" s="20" t="s">
        <v>73</v>
      </c>
      <c r="E373" s="21"/>
      <c r="F373" s="21"/>
      <c r="G373" s="22" t="s">
        <v>71</v>
      </c>
      <c r="H373" s="23"/>
      <c r="I373" s="21" t="s">
        <v>72</v>
      </c>
    </row>
    <row r="374" spans="1:9">
      <c r="A374" s="2"/>
      <c r="B374" s="2"/>
      <c r="C374" s="2"/>
      <c r="D374" s="13"/>
      <c r="E374" s="18"/>
      <c r="F374" s="18"/>
      <c r="G374" s="14"/>
      <c r="H374" s="15"/>
      <c r="I374" s="24">
        <f>ROUND(PRODUCT(ROUND(PRODUCT(D374,E374,F374), 0),G374,H374), 0)</f>
        <v>0</v>
      </c>
    </row>
    <row r="375" spans="1:9">
      <c r="A375" s="2"/>
      <c r="B375" s="1" t="s">
        <v>260</v>
      </c>
      <c r="C375" s="2"/>
      <c r="D375" s="13">
        <v>7</v>
      </c>
      <c r="E375" s="18"/>
      <c r="F375" s="18"/>
      <c r="G375" s="14"/>
      <c r="H375" s="15"/>
      <c r="I375" s="24">
        <f t="shared" ref="I375:I378" si="14">ROUND(PRODUCT(ROUND(PRODUCT(D375,E375,F375), 0),G375,H375), 0)</f>
        <v>7</v>
      </c>
    </row>
    <row r="376" spans="1:9">
      <c r="A376" s="2"/>
      <c r="B376" s="2"/>
      <c r="C376" s="2"/>
      <c r="D376" s="13"/>
      <c r="E376" s="18"/>
      <c r="F376" s="18"/>
      <c r="G376" s="14"/>
      <c r="H376" s="15"/>
      <c r="I376" s="24">
        <f t="shared" si="14"/>
        <v>0</v>
      </c>
    </row>
    <row r="377" spans="1:9">
      <c r="A377" s="2"/>
      <c r="B377" s="2"/>
      <c r="C377" s="2"/>
      <c r="D377" s="13"/>
      <c r="E377" s="18"/>
      <c r="F377" s="18"/>
      <c r="G377" s="14"/>
      <c r="H377" s="15"/>
      <c r="I377" s="24">
        <f t="shared" si="14"/>
        <v>0</v>
      </c>
    </row>
    <row r="378" spans="1:9">
      <c r="A378" s="2"/>
      <c r="B378" s="2"/>
      <c r="C378" s="2"/>
      <c r="D378" s="13"/>
      <c r="E378" s="18"/>
      <c r="F378" s="18"/>
      <c r="G378" s="14"/>
      <c r="H378" s="15"/>
      <c r="I378" s="24">
        <f t="shared" si="14"/>
        <v>0</v>
      </c>
    </row>
    <row r="379" spans="1:9">
      <c r="A379" s="2"/>
      <c r="B379" s="2"/>
      <c r="C379" s="2"/>
      <c r="D379" s="16" t="s">
        <v>74</v>
      </c>
      <c r="E379" s="12"/>
      <c r="F379" s="12"/>
      <c r="G379" s="17" t="s">
        <v>75</v>
      </c>
      <c r="H379" s="12" t="s">
        <v>76</v>
      </c>
      <c r="I379" s="29">
        <f>SUM(I374:I378)</f>
        <v>7</v>
      </c>
    </row>
    <row r="382" spans="1:9">
      <c r="A382" s="7" t="s">
        <v>164</v>
      </c>
      <c r="B382" s="19" t="s">
        <v>330</v>
      </c>
      <c r="C382" s="19"/>
      <c r="D382" s="19"/>
      <c r="E382" s="19"/>
      <c r="F382" s="19"/>
      <c r="G382" s="19"/>
      <c r="H382" s="19"/>
      <c r="I382" s="19"/>
    </row>
    <row r="383" spans="1:9">
      <c r="A383" s="2"/>
      <c r="B383" s="9" t="s">
        <v>70</v>
      </c>
      <c r="C383" s="9"/>
      <c r="D383" s="20" t="s">
        <v>73</v>
      </c>
      <c r="E383" s="21"/>
      <c r="F383" s="21"/>
      <c r="G383" s="22" t="s">
        <v>71</v>
      </c>
      <c r="H383" s="23"/>
      <c r="I383" s="21" t="s">
        <v>72</v>
      </c>
    </row>
    <row r="384" spans="1:9">
      <c r="A384" s="2"/>
      <c r="B384" s="2"/>
      <c r="C384" s="2"/>
      <c r="D384" s="13"/>
      <c r="E384" s="18"/>
      <c r="F384" s="18"/>
      <c r="G384" s="14"/>
      <c r="H384" s="15"/>
      <c r="I384" s="24">
        <f>ROUND(PRODUCT(ROUND(PRODUCT(D384,E384,F384), 0),G384,H384), 0)</f>
        <v>0</v>
      </c>
    </row>
    <row r="385" spans="1:9">
      <c r="A385" s="2"/>
      <c r="B385" s="2"/>
      <c r="C385" s="2"/>
      <c r="D385" s="13"/>
      <c r="E385" s="18"/>
      <c r="F385" s="18"/>
      <c r="G385" s="14"/>
      <c r="H385" s="15"/>
      <c r="I385" s="24">
        <f t="shared" ref="I385:I388" si="15">ROUND(PRODUCT(ROUND(PRODUCT(D385,E385,F385), 0),G385,H385), 0)</f>
        <v>0</v>
      </c>
    </row>
    <row r="386" spans="1:9">
      <c r="A386" s="2"/>
      <c r="B386" s="2" t="s">
        <v>284</v>
      </c>
      <c r="C386" s="2"/>
      <c r="D386" s="13">
        <v>18</v>
      </c>
      <c r="E386" s="18"/>
      <c r="F386" s="18"/>
      <c r="G386" s="14"/>
      <c r="H386" s="15"/>
      <c r="I386" s="24">
        <f t="shared" si="15"/>
        <v>18</v>
      </c>
    </row>
    <row r="387" spans="1:9">
      <c r="A387" s="2"/>
      <c r="B387" s="2" t="s">
        <v>283</v>
      </c>
      <c r="C387" s="2"/>
      <c r="D387" s="13">
        <v>9</v>
      </c>
      <c r="E387" s="18"/>
      <c r="F387" s="18"/>
      <c r="G387" s="14"/>
      <c r="H387" s="15"/>
      <c r="I387" s="24">
        <f t="shared" si="15"/>
        <v>9</v>
      </c>
    </row>
    <row r="388" spans="1:9">
      <c r="A388" s="2"/>
      <c r="B388" s="2"/>
      <c r="C388" s="2"/>
      <c r="D388" s="13"/>
      <c r="E388" s="18"/>
      <c r="F388" s="18"/>
      <c r="G388" s="14"/>
      <c r="H388" s="15"/>
      <c r="I388" s="24">
        <f t="shared" si="15"/>
        <v>0</v>
      </c>
    </row>
    <row r="389" spans="1:9">
      <c r="A389" s="2"/>
      <c r="B389" s="2"/>
      <c r="C389" s="2"/>
      <c r="D389" s="16" t="s">
        <v>74</v>
      </c>
      <c r="E389" s="12"/>
      <c r="F389" s="12"/>
      <c r="G389" s="17" t="s">
        <v>75</v>
      </c>
      <c r="H389" s="12" t="s">
        <v>76</v>
      </c>
      <c r="I389" s="29">
        <f>SUM(I384:I388)</f>
        <v>27</v>
      </c>
    </row>
    <row r="392" spans="1:9">
      <c r="A392" s="7" t="s">
        <v>165</v>
      </c>
      <c r="B392" s="19" t="s">
        <v>261</v>
      </c>
      <c r="C392" s="19"/>
      <c r="D392" s="19"/>
      <c r="E392" s="19"/>
      <c r="F392" s="19"/>
      <c r="G392" s="19"/>
      <c r="H392" s="19"/>
      <c r="I392" s="19"/>
    </row>
    <row r="393" spans="1:9">
      <c r="A393" s="2"/>
      <c r="B393" s="9" t="s">
        <v>70</v>
      </c>
      <c r="C393" s="9"/>
      <c r="D393" s="20" t="s">
        <v>73</v>
      </c>
      <c r="E393" s="21"/>
      <c r="F393" s="21"/>
      <c r="G393" s="22" t="s">
        <v>71</v>
      </c>
      <c r="H393" s="23"/>
      <c r="I393" s="21" t="s">
        <v>72</v>
      </c>
    </row>
    <row r="394" spans="1:9">
      <c r="A394" s="2"/>
      <c r="B394" s="2"/>
      <c r="C394" s="2"/>
      <c r="D394" s="13"/>
      <c r="E394" s="18"/>
      <c r="F394" s="18"/>
      <c r="G394" s="14"/>
      <c r="H394" s="15"/>
      <c r="I394" s="24">
        <f>ROUND(PRODUCT(ROUND(PRODUCT(D394,E394,F394), 0),G394,H394), 0)</f>
        <v>0</v>
      </c>
    </row>
    <row r="395" spans="1:9">
      <c r="A395" s="2"/>
      <c r="B395" s="1" t="s">
        <v>246</v>
      </c>
      <c r="C395" s="2"/>
      <c r="D395" s="13">
        <v>1</v>
      </c>
      <c r="E395" s="18"/>
      <c r="F395" s="18"/>
      <c r="G395" s="14"/>
      <c r="H395" s="15"/>
      <c r="I395" s="24">
        <f t="shared" ref="I395:I398" si="16">ROUND(PRODUCT(ROUND(PRODUCT(D395,E395,F395), 0),G395,H395), 0)</f>
        <v>1</v>
      </c>
    </row>
    <row r="396" spans="1:9">
      <c r="A396" s="2"/>
      <c r="B396" s="2"/>
      <c r="C396" s="2"/>
      <c r="D396" s="13"/>
      <c r="E396" s="18"/>
      <c r="F396" s="18"/>
      <c r="G396" s="14"/>
      <c r="H396" s="15"/>
      <c r="I396" s="24">
        <f t="shared" si="16"/>
        <v>0</v>
      </c>
    </row>
    <row r="397" spans="1:9">
      <c r="A397" s="2"/>
      <c r="B397" s="2"/>
      <c r="C397" s="2"/>
      <c r="D397" s="13"/>
      <c r="E397" s="18"/>
      <c r="F397" s="18"/>
      <c r="G397" s="14"/>
      <c r="H397" s="15"/>
      <c r="I397" s="24">
        <f t="shared" si="16"/>
        <v>0</v>
      </c>
    </row>
    <row r="398" spans="1:9">
      <c r="A398" s="2"/>
      <c r="B398" s="2"/>
      <c r="C398" s="2"/>
      <c r="D398" s="13"/>
      <c r="E398" s="18"/>
      <c r="F398" s="18"/>
      <c r="G398" s="14"/>
      <c r="H398" s="15"/>
      <c r="I398" s="24">
        <f t="shared" si="16"/>
        <v>0</v>
      </c>
    </row>
    <row r="399" spans="1:9">
      <c r="A399" s="2"/>
      <c r="B399" s="2"/>
      <c r="C399" s="2"/>
      <c r="D399" s="16" t="s">
        <v>74</v>
      </c>
      <c r="E399" s="12"/>
      <c r="F399" s="12"/>
      <c r="G399" s="17" t="s">
        <v>75</v>
      </c>
      <c r="H399" s="12" t="s">
        <v>76</v>
      </c>
      <c r="I399" s="29">
        <f>SUM(I394:I398)</f>
        <v>1</v>
      </c>
    </row>
    <row r="402" spans="1:9">
      <c r="A402" s="6" t="s">
        <v>166</v>
      </c>
      <c r="B402" s="19" t="s">
        <v>167</v>
      </c>
      <c r="C402" s="19"/>
      <c r="D402" s="19"/>
      <c r="E402" s="19"/>
      <c r="F402" s="19"/>
      <c r="G402" s="19"/>
      <c r="H402" s="19"/>
      <c r="I402" s="19"/>
    </row>
    <row r="405" spans="1:9">
      <c r="A405" s="6" t="s">
        <v>168</v>
      </c>
      <c r="B405" s="19" t="s">
        <v>169</v>
      </c>
      <c r="C405" s="19"/>
      <c r="D405" s="19"/>
      <c r="E405" s="19"/>
      <c r="F405" s="19"/>
      <c r="G405" s="19"/>
      <c r="H405" s="19"/>
      <c r="I405" s="19"/>
    </row>
    <row r="408" spans="1:9">
      <c r="A408" s="6" t="s">
        <v>170</v>
      </c>
      <c r="B408" s="19" t="s">
        <v>171</v>
      </c>
      <c r="C408" s="19"/>
      <c r="D408" s="19"/>
      <c r="E408" s="19"/>
      <c r="F408" s="19"/>
      <c r="G408" s="19"/>
      <c r="H408" s="19"/>
      <c r="I408" s="19"/>
    </row>
    <row r="409" spans="1:9">
      <c r="B409" s="1" t="s">
        <v>265</v>
      </c>
    </row>
    <row r="411" spans="1:9">
      <c r="A411" s="7" t="s">
        <v>172</v>
      </c>
      <c r="B411" s="19" t="s">
        <v>173</v>
      </c>
      <c r="C411" s="19"/>
      <c r="D411" s="19"/>
      <c r="E411" s="19"/>
      <c r="F411" s="19"/>
      <c r="G411" s="19"/>
      <c r="H411" s="19"/>
      <c r="I411" s="19"/>
    </row>
    <row r="412" spans="1:9">
      <c r="A412" s="2"/>
      <c r="B412" s="9" t="s">
        <v>70</v>
      </c>
      <c r="C412" s="9"/>
      <c r="D412" s="20" t="s">
        <v>73</v>
      </c>
      <c r="E412" s="21"/>
      <c r="F412" s="21"/>
      <c r="G412" s="22" t="s">
        <v>71</v>
      </c>
      <c r="H412" s="23"/>
      <c r="I412" s="21" t="s">
        <v>72</v>
      </c>
    </row>
    <row r="413" spans="1:9">
      <c r="A413" s="2"/>
      <c r="B413" s="2"/>
      <c r="C413" s="2"/>
      <c r="D413" s="13"/>
      <c r="E413" s="18"/>
      <c r="F413" s="18"/>
      <c r="G413" s="14"/>
      <c r="H413" s="15"/>
      <c r="I413" s="24">
        <f>ROUND(PRODUCT(ROUND(PRODUCT(D413,E413,F413), 0),G413,H413), 0)</f>
        <v>0</v>
      </c>
    </row>
    <row r="414" spans="1:9">
      <c r="A414" s="2"/>
      <c r="B414" s="1" t="s">
        <v>263</v>
      </c>
      <c r="C414" s="2"/>
      <c r="D414" s="13">
        <v>20</v>
      </c>
      <c r="E414" s="18"/>
      <c r="F414" s="18"/>
      <c r="G414" s="14"/>
      <c r="H414" s="15"/>
      <c r="I414" s="24">
        <f t="shared" ref="I414:I417" si="17">ROUND(PRODUCT(ROUND(PRODUCT(D414,E414,F414), 0),G414,H414), 0)</f>
        <v>20</v>
      </c>
    </row>
    <row r="415" spans="1:9">
      <c r="A415" s="2"/>
      <c r="B415" s="2"/>
      <c r="C415" s="2"/>
      <c r="D415" s="13"/>
      <c r="E415" s="18"/>
      <c r="F415" s="18"/>
      <c r="G415" s="14"/>
      <c r="H415" s="15"/>
      <c r="I415" s="24">
        <f t="shared" si="17"/>
        <v>0</v>
      </c>
    </row>
    <row r="416" spans="1:9">
      <c r="A416" s="2"/>
      <c r="B416" s="31" t="s">
        <v>264</v>
      </c>
      <c r="C416" s="2"/>
      <c r="D416" s="13">
        <v>2</v>
      </c>
      <c r="E416" s="18"/>
      <c r="F416" s="18"/>
      <c r="G416" s="14"/>
      <c r="H416" s="15"/>
      <c r="I416" s="24">
        <f t="shared" si="17"/>
        <v>2</v>
      </c>
    </row>
    <row r="417" spans="1:9">
      <c r="A417" s="2"/>
      <c r="B417" s="2" t="s">
        <v>287</v>
      </c>
      <c r="C417" s="2"/>
      <c r="D417" s="13">
        <v>2</v>
      </c>
      <c r="E417" s="18"/>
      <c r="F417" s="18"/>
      <c r="G417" s="14"/>
      <c r="H417" s="15"/>
      <c r="I417" s="24">
        <f t="shared" si="17"/>
        <v>2</v>
      </c>
    </row>
    <row r="418" spans="1:9">
      <c r="A418" s="2"/>
      <c r="B418" s="2"/>
      <c r="C418" s="2"/>
      <c r="D418" s="16" t="s">
        <v>74</v>
      </c>
      <c r="E418" s="12"/>
      <c r="F418" s="12"/>
      <c r="G418" s="17" t="s">
        <v>75</v>
      </c>
      <c r="H418" s="12" t="s">
        <v>76</v>
      </c>
      <c r="I418" s="29">
        <f>SUM(I413:I417)</f>
        <v>24</v>
      </c>
    </row>
    <row r="421" spans="1:9">
      <c r="A421" s="7" t="s">
        <v>174</v>
      </c>
      <c r="B421" s="19" t="s">
        <v>262</v>
      </c>
      <c r="C421" s="19"/>
      <c r="D421" s="19"/>
      <c r="E421" s="19"/>
      <c r="F421" s="19"/>
      <c r="G421" s="19"/>
      <c r="H421" s="19"/>
      <c r="I421" s="19"/>
    </row>
    <row r="422" spans="1:9">
      <c r="A422" s="2"/>
      <c r="B422" s="9" t="s">
        <v>70</v>
      </c>
      <c r="C422" s="9"/>
      <c r="D422" s="20" t="s">
        <v>73</v>
      </c>
      <c r="E422" s="21"/>
      <c r="F422" s="21"/>
      <c r="G422" s="22" t="s">
        <v>71</v>
      </c>
      <c r="H422" s="23"/>
      <c r="I422" s="21" t="s">
        <v>72</v>
      </c>
    </row>
    <row r="423" spans="1:9">
      <c r="A423" s="2"/>
      <c r="B423" s="2"/>
      <c r="C423" s="2"/>
      <c r="D423" s="13"/>
      <c r="E423" s="18"/>
      <c r="F423" s="18"/>
      <c r="G423" s="14"/>
      <c r="H423" s="15"/>
      <c r="I423" s="24">
        <f>ROUND(PRODUCT(ROUND(PRODUCT(D423,E423,F423), 0),G423,H423), 0)</f>
        <v>0</v>
      </c>
    </row>
    <row r="424" spans="1:9">
      <c r="A424" s="2"/>
      <c r="B424" s="1" t="s">
        <v>286</v>
      </c>
      <c r="C424" s="2"/>
      <c r="D424" s="13">
        <v>7</v>
      </c>
      <c r="E424" s="18"/>
      <c r="F424" s="18"/>
      <c r="G424" s="14"/>
      <c r="H424" s="15"/>
      <c r="I424" s="24">
        <f t="shared" ref="I424:I427" si="18">ROUND(PRODUCT(ROUND(PRODUCT(D424,E424,F424), 0),G424,H424), 0)</f>
        <v>7</v>
      </c>
    </row>
    <row r="425" spans="1:9">
      <c r="A425" s="2"/>
      <c r="B425" s="2"/>
      <c r="C425" s="2"/>
      <c r="D425" s="13"/>
      <c r="E425" s="18"/>
      <c r="F425" s="18"/>
      <c r="G425" s="14"/>
      <c r="H425" s="15"/>
      <c r="I425" s="24">
        <f t="shared" si="18"/>
        <v>0</v>
      </c>
    </row>
    <row r="426" spans="1:9">
      <c r="A426" s="2"/>
      <c r="B426" s="2"/>
      <c r="C426" s="2"/>
      <c r="D426" s="13"/>
      <c r="E426" s="18"/>
      <c r="F426" s="18"/>
      <c r="G426" s="14"/>
      <c r="H426" s="15"/>
      <c r="I426" s="24">
        <f t="shared" si="18"/>
        <v>0</v>
      </c>
    </row>
    <row r="427" spans="1:9">
      <c r="A427" s="2"/>
      <c r="B427" s="2"/>
      <c r="C427" s="2"/>
      <c r="D427" s="13"/>
      <c r="E427" s="18"/>
      <c r="F427" s="18"/>
      <c r="G427" s="14"/>
      <c r="H427" s="15"/>
      <c r="I427" s="24">
        <f t="shared" si="18"/>
        <v>0</v>
      </c>
    </row>
    <row r="428" spans="1:9">
      <c r="A428" s="2"/>
      <c r="B428" s="2"/>
      <c r="C428" s="2"/>
      <c r="D428" s="16" t="s">
        <v>74</v>
      </c>
      <c r="E428" s="12"/>
      <c r="F428" s="12"/>
      <c r="G428" s="17" t="s">
        <v>75</v>
      </c>
      <c r="H428" s="12" t="s">
        <v>76</v>
      </c>
      <c r="I428" s="29">
        <f>SUM(I423:I427)</f>
        <v>7</v>
      </c>
    </row>
    <row r="431" spans="1:9">
      <c r="A431" s="6" t="s">
        <v>175</v>
      </c>
      <c r="B431" s="19" t="s">
        <v>176</v>
      </c>
      <c r="C431" s="19"/>
      <c r="D431" s="19"/>
      <c r="E431" s="19"/>
      <c r="F431" s="19"/>
      <c r="G431" s="19"/>
      <c r="H431" s="19"/>
      <c r="I431" s="19"/>
    </row>
    <row r="434" spans="1:9">
      <c r="A434" s="7" t="s">
        <v>177</v>
      </c>
      <c r="B434" s="19" t="s">
        <v>178</v>
      </c>
      <c r="C434" s="19"/>
      <c r="D434" s="19"/>
      <c r="E434" s="19"/>
      <c r="F434" s="19"/>
      <c r="G434" s="19"/>
      <c r="H434" s="19"/>
      <c r="I434" s="19"/>
    </row>
    <row r="437" spans="1:9">
      <c r="A437" s="8" t="s">
        <v>179</v>
      </c>
      <c r="B437" s="19" t="s">
        <v>266</v>
      </c>
      <c r="C437" s="19"/>
      <c r="D437" s="19"/>
      <c r="E437" s="19"/>
      <c r="F437" s="19"/>
      <c r="G437" s="19"/>
      <c r="H437" s="19"/>
      <c r="I437" s="19"/>
    </row>
    <row r="438" spans="1:9">
      <c r="A438" s="2"/>
      <c r="B438" s="9" t="s">
        <v>70</v>
      </c>
      <c r="C438" s="9"/>
      <c r="D438" s="20" t="s">
        <v>73</v>
      </c>
      <c r="E438" s="21"/>
      <c r="F438" s="21"/>
      <c r="G438" s="22" t="s">
        <v>71</v>
      </c>
      <c r="H438" s="23"/>
      <c r="I438" s="21" t="s">
        <v>72</v>
      </c>
    </row>
    <row r="439" spans="1:9">
      <c r="A439" s="2"/>
      <c r="B439" s="2"/>
      <c r="C439" s="2"/>
      <c r="D439" s="13"/>
      <c r="E439" s="18"/>
      <c r="F439" s="18"/>
      <c r="G439" s="14"/>
      <c r="H439" s="15"/>
      <c r="I439" s="24">
        <f>ROUND(PRODUCT(ROUND(PRODUCT(D439,E439,F439), 0),G439,H439), 0)</f>
        <v>0</v>
      </c>
    </row>
    <row r="440" spans="1:9">
      <c r="A440" s="2"/>
      <c r="C440" s="2"/>
      <c r="D440" s="13">
        <v>2</v>
      </c>
      <c r="E440" s="18"/>
      <c r="F440" s="18"/>
      <c r="G440" s="14"/>
      <c r="H440" s="15"/>
      <c r="I440" s="24">
        <f t="shared" ref="I440:I443" si="19">ROUND(PRODUCT(ROUND(PRODUCT(D440,E440,F440), 0),G440,H440), 0)</f>
        <v>2</v>
      </c>
    </row>
    <row r="441" spans="1:9">
      <c r="A441" s="2"/>
      <c r="B441" s="2"/>
      <c r="C441" s="2"/>
      <c r="D441" s="13"/>
      <c r="E441" s="18"/>
      <c r="F441" s="18"/>
      <c r="G441" s="14"/>
      <c r="H441" s="15"/>
      <c r="I441" s="24">
        <f t="shared" si="19"/>
        <v>0</v>
      </c>
    </row>
    <row r="442" spans="1:9">
      <c r="A442" s="2"/>
      <c r="B442" s="2"/>
      <c r="C442" s="2"/>
      <c r="D442" s="13"/>
      <c r="E442" s="18"/>
      <c r="F442" s="18"/>
      <c r="G442" s="14"/>
      <c r="H442" s="15"/>
      <c r="I442" s="24">
        <f t="shared" si="19"/>
        <v>0</v>
      </c>
    </row>
    <row r="443" spans="1:9">
      <c r="A443" s="2"/>
      <c r="B443" s="2"/>
      <c r="C443" s="2"/>
      <c r="D443" s="13"/>
      <c r="E443" s="18"/>
      <c r="F443" s="18"/>
      <c r="G443" s="14"/>
      <c r="H443" s="15"/>
      <c r="I443" s="24">
        <f t="shared" si="19"/>
        <v>0</v>
      </c>
    </row>
    <row r="444" spans="1:9">
      <c r="A444" s="2"/>
      <c r="B444" s="2"/>
      <c r="C444" s="2"/>
      <c r="D444" s="16" t="s">
        <v>74</v>
      </c>
      <c r="E444" s="12"/>
      <c r="F444" s="12"/>
      <c r="G444" s="17" t="s">
        <v>75</v>
      </c>
      <c r="H444" s="12" t="s">
        <v>76</v>
      </c>
      <c r="I444" s="29">
        <f>SUM(I439:I443)</f>
        <v>2</v>
      </c>
    </row>
    <row r="447" spans="1:9">
      <c r="A447" s="8" t="s">
        <v>180</v>
      </c>
      <c r="B447" s="19" t="s">
        <v>267</v>
      </c>
      <c r="C447" s="19"/>
      <c r="D447" s="19"/>
      <c r="E447" s="19"/>
      <c r="F447" s="19"/>
      <c r="G447" s="19"/>
      <c r="H447" s="19"/>
      <c r="I447" s="19"/>
    </row>
    <row r="448" spans="1:9">
      <c r="A448" s="2"/>
      <c r="B448" s="9" t="s">
        <v>70</v>
      </c>
      <c r="C448" s="9"/>
      <c r="D448" s="20" t="s">
        <v>73</v>
      </c>
      <c r="E448" s="21"/>
      <c r="F448" s="21"/>
      <c r="G448" s="22" t="s">
        <v>71</v>
      </c>
      <c r="H448" s="23"/>
      <c r="I448" s="21" t="s">
        <v>72</v>
      </c>
    </row>
    <row r="449" spans="1:9">
      <c r="A449" s="2"/>
      <c r="B449" s="2"/>
      <c r="C449" s="2"/>
      <c r="D449" s="13"/>
      <c r="E449" s="18"/>
      <c r="F449" s="18"/>
      <c r="G449" s="14"/>
      <c r="H449" s="15"/>
      <c r="I449" s="24">
        <f>ROUND(PRODUCT(ROUND(PRODUCT(D449,E449,F449), 0),G449,H449), 0)</f>
        <v>0</v>
      </c>
    </row>
    <row r="450" spans="1:9">
      <c r="A450" s="2"/>
      <c r="B450" s="1" t="s">
        <v>283</v>
      </c>
      <c r="C450" s="2"/>
      <c r="D450" s="13">
        <v>2</v>
      </c>
      <c r="E450" s="18"/>
      <c r="F450" s="18"/>
      <c r="G450" s="14"/>
      <c r="H450" s="15"/>
      <c r="I450" s="24">
        <f t="shared" ref="I450:I453" si="20">ROUND(PRODUCT(ROUND(PRODUCT(D450,E450,F450), 0),G450,H450), 0)</f>
        <v>2</v>
      </c>
    </row>
    <row r="451" spans="1:9">
      <c r="A451" s="2"/>
      <c r="B451" s="2"/>
      <c r="C451" s="2"/>
      <c r="D451" s="13"/>
      <c r="E451" s="18"/>
      <c r="F451" s="18"/>
      <c r="G451" s="14"/>
      <c r="H451" s="15"/>
      <c r="I451" s="24">
        <f t="shared" si="20"/>
        <v>0</v>
      </c>
    </row>
    <row r="452" spans="1:9">
      <c r="A452" s="2"/>
      <c r="B452" s="2"/>
      <c r="C452" s="2"/>
      <c r="D452" s="13"/>
      <c r="E452" s="18"/>
      <c r="F452" s="18"/>
      <c r="G452" s="14"/>
      <c r="H452" s="15"/>
      <c r="I452" s="24">
        <f t="shared" si="20"/>
        <v>0</v>
      </c>
    </row>
    <row r="453" spans="1:9">
      <c r="A453" s="2"/>
      <c r="B453" s="2"/>
      <c r="C453" s="2"/>
      <c r="D453" s="13"/>
      <c r="E453" s="18"/>
      <c r="F453" s="18"/>
      <c r="G453" s="14"/>
      <c r="H453" s="15"/>
      <c r="I453" s="24">
        <f t="shared" si="20"/>
        <v>0</v>
      </c>
    </row>
    <row r="454" spans="1:9">
      <c r="A454" s="2"/>
      <c r="B454" s="2"/>
      <c r="C454" s="2"/>
      <c r="D454" s="16" t="s">
        <v>74</v>
      </c>
      <c r="E454" s="12"/>
      <c r="F454" s="12"/>
      <c r="G454" s="17" t="s">
        <v>75</v>
      </c>
      <c r="H454" s="12" t="s">
        <v>76</v>
      </c>
      <c r="I454" s="29">
        <f>SUM(I449:I453)</f>
        <v>2</v>
      </c>
    </row>
    <row r="457" spans="1:9">
      <c r="A457" s="8" t="s">
        <v>225</v>
      </c>
      <c r="B457" s="19" t="s">
        <v>332</v>
      </c>
      <c r="C457" s="19"/>
      <c r="D457" s="19"/>
      <c r="E457" s="19"/>
      <c r="F457" s="19"/>
      <c r="G457" s="19"/>
      <c r="H457" s="19"/>
      <c r="I457" s="19"/>
    </row>
    <row r="458" spans="1:9">
      <c r="A458" s="2"/>
      <c r="B458" s="9" t="s">
        <v>70</v>
      </c>
      <c r="C458" s="9"/>
      <c r="D458" s="20"/>
      <c r="E458" s="21" t="s">
        <v>89</v>
      </c>
      <c r="F458" s="21"/>
      <c r="G458" s="22" t="s">
        <v>71</v>
      </c>
      <c r="H458" s="23"/>
      <c r="I458" s="21" t="s">
        <v>72</v>
      </c>
    </row>
    <row r="459" spans="1:9">
      <c r="A459" s="2"/>
      <c r="B459" s="2"/>
      <c r="C459" s="2"/>
      <c r="D459" s="13"/>
      <c r="E459" s="18"/>
      <c r="F459" s="18"/>
      <c r="G459" s="14"/>
      <c r="H459" s="15"/>
      <c r="I459" s="25">
        <f>ROUND(PRODUCT(ROUND(PRODUCT(D459,E459,F459), 2),G459,H459), 2)</f>
        <v>0</v>
      </c>
    </row>
    <row r="460" spans="1:9">
      <c r="A460" s="2"/>
      <c r="B460" s="1" t="s">
        <v>268</v>
      </c>
      <c r="C460" s="2"/>
      <c r="D460" s="13"/>
      <c r="E460" s="18">
        <v>48.29</v>
      </c>
      <c r="F460" s="18"/>
      <c r="G460" s="14"/>
      <c r="H460" s="15"/>
      <c r="I460" s="25">
        <f t="shared" ref="I460:I463" si="21">ROUND(PRODUCT(ROUND(PRODUCT(D460,E460,F460), 2),G460,H460), 2)</f>
        <v>48.29</v>
      </c>
    </row>
    <row r="461" spans="1:9">
      <c r="A461" s="2"/>
      <c r="B461" s="2"/>
      <c r="C461" s="2"/>
      <c r="D461" s="13"/>
      <c r="E461" s="18"/>
      <c r="F461" s="18"/>
      <c r="G461" s="14"/>
      <c r="H461" s="15"/>
      <c r="I461" s="25">
        <f t="shared" si="21"/>
        <v>0</v>
      </c>
    </row>
    <row r="462" spans="1:9">
      <c r="A462" s="2"/>
      <c r="B462" s="2"/>
      <c r="C462" s="2"/>
      <c r="D462" s="13"/>
      <c r="E462" s="18"/>
      <c r="F462" s="18"/>
      <c r="G462" s="14"/>
      <c r="H462" s="15"/>
      <c r="I462" s="25">
        <f t="shared" si="21"/>
        <v>0</v>
      </c>
    </row>
    <row r="463" spans="1:9">
      <c r="A463" s="2"/>
      <c r="B463" s="2"/>
      <c r="C463" s="2"/>
      <c r="D463" s="13"/>
      <c r="E463" s="18"/>
      <c r="F463" s="18"/>
      <c r="G463" s="14"/>
      <c r="H463" s="15"/>
      <c r="I463" s="25">
        <f t="shared" si="21"/>
        <v>0</v>
      </c>
    </row>
    <row r="464" spans="1:9">
      <c r="A464" s="2"/>
      <c r="B464" s="2"/>
      <c r="C464" s="2"/>
      <c r="D464" s="16" t="s">
        <v>74</v>
      </c>
      <c r="E464" s="12"/>
      <c r="F464" s="12"/>
      <c r="G464" s="17" t="s">
        <v>331</v>
      </c>
      <c r="H464" s="12" t="s">
        <v>91</v>
      </c>
      <c r="I464" s="30">
        <f>SUM(I459:I463)</f>
        <v>48.29</v>
      </c>
    </row>
    <row r="467" spans="1:9">
      <c r="A467" s="6" t="s">
        <v>181</v>
      </c>
      <c r="B467" s="19" t="s">
        <v>182</v>
      </c>
      <c r="C467" s="19"/>
      <c r="D467" s="19"/>
      <c r="E467" s="19"/>
      <c r="F467" s="19"/>
      <c r="G467" s="19"/>
      <c r="H467" s="19"/>
      <c r="I467" s="19"/>
    </row>
    <row r="470" spans="1:9">
      <c r="A470" s="7" t="s">
        <v>183</v>
      </c>
      <c r="B470" s="19" t="s">
        <v>340</v>
      </c>
      <c r="C470" s="19"/>
      <c r="D470" s="19"/>
      <c r="E470" s="19"/>
      <c r="F470" s="19"/>
      <c r="G470" s="19"/>
      <c r="H470" s="19"/>
      <c r="I470" s="19"/>
    </row>
    <row r="471" spans="1:9">
      <c r="A471" s="2"/>
      <c r="B471" s="9" t="s">
        <v>70</v>
      </c>
      <c r="C471" s="9"/>
      <c r="D471" s="20" t="s">
        <v>73</v>
      </c>
      <c r="E471" s="21"/>
      <c r="F471" s="21"/>
      <c r="G471" s="22" t="s">
        <v>71</v>
      </c>
      <c r="H471" s="23"/>
      <c r="I471" s="21" t="s">
        <v>72</v>
      </c>
    </row>
    <row r="472" spans="1:9">
      <c r="A472" s="2"/>
      <c r="B472" s="2"/>
      <c r="C472" s="2"/>
      <c r="D472" s="13"/>
      <c r="E472" s="18"/>
      <c r="F472" s="18"/>
      <c r="G472" s="14"/>
      <c r="H472" s="15"/>
      <c r="I472" s="24">
        <f>ROUND(PRODUCT(ROUND(PRODUCT(D472,E472,F472), 0),G472,H472), 0)</f>
        <v>0</v>
      </c>
    </row>
    <row r="473" spans="1:9">
      <c r="A473" s="2"/>
      <c r="C473" s="2"/>
      <c r="D473" s="13">
        <v>12</v>
      </c>
      <c r="E473" s="18"/>
      <c r="F473" s="18"/>
      <c r="G473" s="14"/>
      <c r="H473" s="15"/>
      <c r="I473" s="24">
        <f t="shared" ref="I473:I476" si="22">ROUND(PRODUCT(ROUND(PRODUCT(D473,E473,F473), 0),G473,H473), 0)</f>
        <v>12</v>
      </c>
    </row>
    <row r="474" spans="1:9">
      <c r="A474" s="2"/>
      <c r="B474" s="2"/>
      <c r="C474" s="2"/>
      <c r="D474" s="13"/>
      <c r="E474" s="18"/>
      <c r="F474" s="18"/>
      <c r="G474" s="14"/>
      <c r="H474" s="15"/>
      <c r="I474" s="24">
        <f t="shared" si="22"/>
        <v>0</v>
      </c>
    </row>
    <row r="475" spans="1:9">
      <c r="A475" s="2"/>
      <c r="B475" s="2"/>
      <c r="C475" s="2"/>
      <c r="D475" s="13"/>
      <c r="E475" s="18"/>
      <c r="F475" s="18"/>
      <c r="G475" s="14"/>
      <c r="H475" s="15"/>
      <c r="I475" s="24">
        <f t="shared" si="22"/>
        <v>0</v>
      </c>
    </row>
    <row r="476" spans="1:9">
      <c r="A476" s="2"/>
      <c r="B476" s="2"/>
      <c r="C476" s="2"/>
      <c r="D476" s="13"/>
      <c r="E476" s="18"/>
      <c r="F476" s="18"/>
      <c r="G476" s="14"/>
      <c r="H476" s="15"/>
      <c r="I476" s="24">
        <f t="shared" si="22"/>
        <v>0</v>
      </c>
    </row>
    <row r="477" spans="1:9">
      <c r="A477" s="2"/>
      <c r="B477" s="2"/>
      <c r="C477" s="2"/>
      <c r="D477" s="16" t="s">
        <v>74</v>
      </c>
      <c r="E477" s="12"/>
      <c r="F477" s="12"/>
      <c r="G477" s="17" t="s">
        <v>75</v>
      </c>
      <c r="H477" s="12" t="s">
        <v>76</v>
      </c>
      <c r="I477" s="29">
        <f>SUM(I472:I476)</f>
        <v>12</v>
      </c>
    </row>
    <row r="480" spans="1:9">
      <c r="A480" s="7" t="s">
        <v>184</v>
      </c>
      <c r="B480" s="19" t="s">
        <v>185</v>
      </c>
      <c r="C480" s="19"/>
      <c r="D480" s="19"/>
      <c r="E480" s="19"/>
      <c r="F480" s="19"/>
      <c r="G480" s="19"/>
      <c r="H480" s="19"/>
      <c r="I480" s="19"/>
    </row>
    <row r="481" spans="1:9">
      <c r="D481" s="16" t="s">
        <v>74</v>
      </c>
      <c r="E481" s="12"/>
      <c r="F481" s="12"/>
      <c r="G481" s="17"/>
      <c r="H481" s="12" t="s">
        <v>227</v>
      </c>
      <c r="I481" s="10"/>
    </row>
    <row r="484" spans="1:9">
      <c r="A484" s="6" t="s">
        <v>186</v>
      </c>
      <c r="B484" s="19" t="s">
        <v>187</v>
      </c>
      <c r="C484" s="19"/>
      <c r="D484" s="19"/>
      <c r="E484" s="19"/>
      <c r="F484" s="19"/>
      <c r="G484" s="19"/>
      <c r="H484" s="19"/>
      <c r="I484" s="19"/>
    </row>
    <row r="487" spans="1:9">
      <c r="A487" s="6" t="s">
        <v>188</v>
      </c>
      <c r="B487" s="19" t="s">
        <v>189</v>
      </c>
      <c r="C487" s="19"/>
      <c r="D487" s="19"/>
      <c r="E487" s="19"/>
      <c r="F487" s="19"/>
      <c r="G487" s="19"/>
      <c r="H487" s="19"/>
      <c r="I487" s="19"/>
    </row>
    <row r="490" spans="1:9">
      <c r="A490" s="6" t="s">
        <v>190</v>
      </c>
      <c r="B490" s="19" t="s">
        <v>191</v>
      </c>
      <c r="C490" s="19"/>
      <c r="D490" s="19"/>
      <c r="E490" s="19"/>
      <c r="F490" s="19"/>
      <c r="G490" s="19"/>
      <c r="H490" s="19"/>
      <c r="I490" s="19"/>
    </row>
    <row r="493" spans="1:9">
      <c r="A493" s="7" t="s">
        <v>192</v>
      </c>
      <c r="B493" s="19" t="s">
        <v>333</v>
      </c>
      <c r="C493" s="19"/>
      <c r="D493" s="19"/>
      <c r="E493" s="19"/>
      <c r="F493" s="19"/>
      <c r="G493" s="19"/>
      <c r="H493" s="19"/>
      <c r="I493" s="19"/>
    </row>
    <row r="494" spans="1:9">
      <c r="A494" s="2"/>
      <c r="B494" s="9" t="s">
        <v>70</v>
      </c>
      <c r="C494" s="9"/>
      <c r="D494" s="20"/>
      <c r="E494" s="21" t="s">
        <v>89</v>
      </c>
      <c r="F494" s="21"/>
      <c r="G494" s="22" t="s">
        <v>71</v>
      </c>
      <c r="H494" s="23"/>
      <c r="I494" s="21" t="s">
        <v>72</v>
      </c>
    </row>
    <row r="495" spans="1:9">
      <c r="A495" s="2"/>
      <c r="B495" s="2"/>
      <c r="C495" s="2"/>
      <c r="D495" s="13"/>
      <c r="E495" s="18"/>
      <c r="F495" s="18"/>
      <c r="G495" s="14"/>
      <c r="H495" s="15"/>
      <c r="I495" s="25">
        <f>ROUND(PRODUCT(ROUND(PRODUCT(D495,E495,F495), 2),G495,H495), 2)</f>
        <v>0</v>
      </c>
    </row>
    <row r="496" spans="1:9">
      <c r="A496" s="2"/>
      <c r="B496" s="1" t="s">
        <v>269</v>
      </c>
      <c r="C496" s="2"/>
      <c r="D496" s="13"/>
      <c r="E496" s="18">
        <v>14</v>
      </c>
      <c r="F496" s="18"/>
      <c r="G496" s="14"/>
      <c r="H496" s="15"/>
      <c r="I496" s="25">
        <f t="shared" ref="I496:I499" si="23">ROUND(PRODUCT(ROUND(PRODUCT(D496,E496,F496), 2),G496,H496), 2)</f>
        <v>14</v>
      </c>
    </row>
    <row r="497" spans="1:9">
      <c r="A497" s="2"/>
      <c r="B497" s="2"/>
      <c r="C497" s="2"/>
      <c r="D497" s="13"/>
      <c r="E497" s="18"/>
      <c r="F497" s="18"/>
      <c r="G497" s="14"/>
      <c r="H497" s="15"/>
      <c r="I497" s="25">
        <f t="shared" si="23"/>
        <v>0</v>
      </c>
    </row>
    <row r="498" spans="1:9">
      <c r="A498" s="2"/>
      <c r="B498" s="2"/>
      <c r="C498" s="2"/>
      <c r="D498" s="13"/>
      <c r="E498" s="18"/>
      <c r="F498" s="18"/>
      <c r="G498" s="14"/>
      <c r="H498" s="15"/>
      <c r="I498" s="25">
        <f t="shared" si="23"/>
        <v>0</v>
      </c>
    </row>
    <row r="499" spans="1:9">
      <c r="A499" s="2"/>
      <c r="B499" s="2"/>
      <c r="C499" s="2"/>
      <c r="D499" s="13"/>
      <c r="E499" s="18"/>
      <c r="F499" s="18"/>
      <c r="G499" s="14"/>
      <c r="H499" s="15"/>
      <c r="I499" s="25">
        <f t="shared" si="23"/>
        <v>0</v>
      </c>
    </row>
    <row r="500" spans="1:9">
      <c r="A500" s="2"/>
      <c r="B500" s="2"/>
      <c r="C500" s="2"/>
      <c r="D500" s="16" t="s">
        <v>74</v>
      </c>
      <c r="E500" s="12"/>
      <c r="F500" s="12"/>
      <c r="G500" s="17" t="s">
        <v>75</v>
      </c>
      <c r="H500" s="12" t="s">
        <v>91</v>
      </c>
      <c r="I500" s="30">
        <f>SUM(I495:I499)</f>
        <v>14</v>
      </c>
    </row>
    <row r="503" spans="1:9">
      <c r="A503" s="8" t="s">
        <v>193</v>
      </c>
      <c r="B503" s="19" t="s">
        <v>194</v>
      </c>
      <c r="C503" s="19"/>
      <c r="D503" s="19"/>
      <c r="E503" s="19"/>
      <c r="F503" s="19"/>
      <c r="G503" s="19"/>
      <c r="H503" s="19"/>
      <c r="I503" s="19"/>
    </row>
    <row r="504" spans="1:9">
      <c r="A504" s="2"/>
      <c r="B504" s="9" t="s">
        <v>70</v>
      </c>
      <c r="C504" s="9"/>
      <c r="D504" s="20" t="s">
        <v>73</v>
      </c>
      <c r="E504" s="21"/>
      <c r="F504" s="21"/>
      <c r="G504" s="22" t="s">
        <v>71</v>
      </c>
      <c r="H504" s="23"/>
      <c r="I504" s="21" t="s">
        <v>72</v>
      </c>
    </row>
    <row r="505" spans="1:9">
      <c r="A505" s="2"/>
      <c r="B505" s="2"/>
      <c r="C505" s="2"/>
      <c r="D505" s="13"/>
      <c r="E505" s="18"/>
      <c r="F505" s="18"/>
      <c r="G505" s="14"/>
      <c r="H505" s="15"/>
      <c r="I505" s="24">
        <f>ROUND(PRODUCT(ROUND(PRODUCT(D505,E505,F505), 0),G505,H505), 0)</f>
        <v>0</v>
      </c>
    </row>
    <row r="506" spans="1:9">
      <c r="A506" s="2"/>
      <c r="B506" s="1" t="s">
        <v>270</v>
      </c>
      <c r="C506" s="2"/>
      <c r="D506" s="13">
        <v>1</v>
      </c>
      <c r="E506" s="18"/>
      <c r="F506" s="18"/>
      <c r="G506" s="14"/>
      <c r="H506" s="15"/>
      <c r="I506" s="24">
        <f t="shared" ref="I506:I507" si="24">ROUND(PRODUCT(ROUND(PRODUCT(D506,E506,F506), 0),G506,H506), 0)</f>
        <v>1</v>
      </c>
    </row>
    <row r="507" spans="1:9">
      <c r="A507" s="2"/>
      <c r="B507" s="2"/>
      <c r="C507" s="2"/>
      <c r="D507" s="13"/>
      <c r="E507" s="18"/>
      <c r="F507" s="18"/>
      <c r="G507" s="14"/>
      <c r="H507" s="15"/>
      <c r="I507" s="24">
        <f t="shared" si="24"/>
        <v>0</v>
      </c>
    </row>
    <row r="508" spans="1:9">
      <c r="A508" s="2"/>
      <c r="B508" s="2"/>
      <c r="C508" s="2"/>
      <c r="D508" s="16" t="s">
        <v>74</v>
      </c>
      <c r="E508" s="12"/>
      <c r="F508" s="12"/>
      <c r="G508" s="17" t="s">
        <v>75</v>
      </c>
      <c r="H508" s="12" t="s">
        <v>76</v>
      </c>
      <c r="I508" s="29">
        <f>SUM(I505:I507)</f>
        <v>1</v>
      </c>
    </row>
    <row r="511" spans="1:9">
      <c r="A511" s="7" t="s">
        <v>195</v>
      </c>
      <c r="B511" s="19" t="s">
        <v>334</v>
      </c>
      <c r="C511" s="19"/>
      <c r="D511" s="19"/>
      <c r="E511" s="19"/>
      <c r="F511" s="19"/>
      <c r="G511" s="19"/>
      <c r="H511" s="19"/>
      <c r="I511" s="19"/>
    </row>
    <row r="512" spans="1:9">
      <c r="A512" s="2"/>
      <c r="B512" s="9" t="s">
        <v>70</v>
      </c>
      <c r="C512" s="9"/>
      <c r="D512" s="20" t="s">
        <v>73</v>
      </c>
      <c r="E512" s="21"/>
      <c r="F512" s="21"/>
      <c r="G512" s="22" t="s">
        <v>71</v>
      </c>
      <c r="H512" s="23"/>
      <c r="I512" s="21" t="s">
        <v>72</v>
      </c>
    </row>
    <row r="513" spans="1:9">
      <c r="A513" s="2"/>
      <c r="B513" s="2"/>
      <c r="C513" s="2"/>
      <c r="D513" s="13"/>
      <c r="E513" s="18"/>
      <c r="F513" s="18"/>
      <c r="G513" s="14"/>
      <c r="H513" s="15"/>
      <c r="I513" s="24">
        <f>ROUND(PRODUCT(ROUND(PRODUCT(D513,E513,F513), 0),G513,H513), 0)</f>
        <v>0</v>
      </c>
    </row>
    <row r="514" spans="1:9">
      <c r="A514" s="2"/>
      <c r="C514" s="2"/>
      <c r="D514" s="13">
        <v>3</v>
      </c>
      <c r="E514" s="18"/>
      <c r="F514" s="18"/>
      <c r="G514" s="14"/>
      <c r="H514" s="15"/>
      <c r="I514" s="24">
        <f t="shared" ref="I514:I517" si="25">ROUND(PRODUCT(ROUND(PRODUCT(D514,E514,F514), 0),G514,H514), 0)</f>
        <v>3</v>
      </c>
    </row>
    <row r="515" spans="1:9">
      <c r="A515" s="2"/>
      <c r="B515" s="2"/>
      <c r="C515" s="2"/>
      <c r="D515" s="13"/>
      <c r="E515" s="18"/>
      <c r="F515" s="18"/>
      <c r="G515" s="14"/>
      <c r="H515" s="15"/>
      <c r="I515" s="24">
        <f t="shared" si="25"/>
        <v>0</v>
      </c>
    </row>
    <row r="516" spans="1:9">
      <c r="A516" s="2"/>
      <c r="B516" s="2"/>
      <c r="C516" s="2"/>
      <c r="D516" s="13"/>
      <c r="E516" s="18"/>
      <c r="F516" s="18"/>
      <c r="G516" s="14"/>
      <c r="H516" s="15"/>
      <c r="I516" s="24">
        <f t="shared" si="25"/>
        <v>0</v>
      </c>
    </row>
    <row r="517" spans="1:9">
      <c r="A517" s="2"/>
      <c r="B517" s="2"/>
      <c r="C517" s="2"/>
      <c r="D517" s="13"/>
      <c r="E517" s="18"/>
      <c r="F517" s="18"/>
      <c r="G517" s="14"/>
      <c r="H517" s="15"/>
      <c r="I517" s="24">
        <f t="shared" si="25"/>
        <v>0</v>
      </c>
    </row>
    <row r="518" spans="1:9">
      <c r="A518" s="2"/>
      <c r="B518" s="2"/>
      <c r="C518" s="2"/>
      <c r="D518" s="16" t="s">
        <v>74</v>
      </c>
      <c r="E518" s="12"/>
      <c r="F518" s="12"/>
      <c r="G518" s="17" t="s">
        <v>75</v>
      </c>
      <c r="H518" s="12" t="s">
        <v>76</v>
      </c>
      <c r="I518" s="29">
        <f>SUM(I513:I517)</f>
        <v>3</v>
      </c>
    </row>
    <row r="521" spans="1:9">
      <c r="A521" s="7" t="s">
        <v>196</v>
      </c>
      <c r="B521" s="19" t="s">
        <v>197</v>
      </c>
      <c r="C521" s="19"/>
      <c r="D521" s="19"/>
      <c r="E521" s="19"/>
      <c r="F521" s="19"/>
      <c r="G521" s="19"/>
      <c r="H521" s="19"/>
      <c r="I521" s="19"/>
    </row>
    <row r="522" spans="1:9">
      <c r="D522" s="16" t="s">
        <v>74</v>
      </c>
      <c r="E522" s="12"/>
      <c r="F522" s="12"/>
      <c r="G522" s="17"/>
      <c r="H522" s="12" t="s">
        <v>227</v>
      </c>
      <c r="I522" s="10"/>
    </row>
    <row r="525" spans="1:9">
      <c r="A525" s="8" t="s">
        <v>271</v>
      </c>
      <c r="B525" s="19" t="s">
        <v>335</v>
      </c>
      <c r="C525" s="19"/>
      <c r="D525" s="19"/>
      <c r="E525" s="19"/>
      <c r="F525" s="19"/>
      <c r="G525" s="19"/>
      <c r="H525" s="19"/>
      <c r="I525" s="19"/>
    </row>
    <row r="526" spans="1:9">
      <c r="A526" s="2"/>
      <c r="B526" s="9" t="s">
        <v>70</v>
      </c>
      <c r="C526" s="9"/>
      <c r="D526" s="20" t="s">
        <v>73</v>
      </c>
      <c r="E526" s="21"/>
      <c r="F526" s="21"/>
      <c r="G526" s="22" t="s">
        <v>71</v>
      </c>
      <c r="H526" s="23"/>
      <c r="I526" s="21" t="s">
        <v>72</v>
      </c>
    </row>
    <row r="527" spans="1:9">
      <c r="A527" s="2"/>
      <c r="B527" s="2"/>
      <c r="C527" s="2"/>
      <c r="D527" s="13"/>
      <c r="E527" s="18"/>
      <c r="F527" s="18"/>
      <c r="G527" s="14"/>
      <c r="H527" s="15"/>
      <c r="I527" s="24">
        <f>ROUND(PRODUCT(ROUND(PRODUCT(D527,E527,F527), 0),G527,H527), 0)</f>
        <v>0</v>
      </c>
    </row>
    <row r="528" spans="1:9">
      <c r="A528" s="2"/>
      <c r="B528" s="1" t="s">
        <v>226</v>
      </c>
      <c r="C528" s="2"/>
      <c r="D528" s="13">
        <v>1</v>
      </c>
      <c r="E528" s="18"/>
      <c r="F528" s="18"/>
      <c r="G528" s="14"/>
      <c r="H528" s="15"/>
      <c r="I528" s="24">
        <f t="shared" ref="I528:I531" si="26">ROUND(PRODUCT(ROUND(PRODUCT(D528,E528,F528), 0),G528,H528), 0)</f>
        <v>1</v>
      </c>
    </row>
    <row r="529" spans="1:9">
      <c r="A529" s="2"/>
      <c r="B529" s="2" t="s">
        <v>251</v>
      </c>
      <c r="C529" s="2"/>
      <c r="D529" s="13">
        <v>1</v>
      </c>
      <c r="E529" s="18"/>
      <c r="F529" s="18"/>
      <c r="G529" s="14"/>
      <c r="H529" s="15"/>
      <c r="I529" s="24">
        <f t="shared" si="26"/>
        <v>1</v>
      </c>
    </row>
    <row r="530" spans="1:9">
      <c r="A530" s="2"/>
      <c r="B530" s="2"/>
      <c r="C530" s="2"/>
      <c r="D530" s="13"/>
      <c r="E530" s="18"/>
      <c r="F530" s="18"/>
      <c r="G530" s="14"/>
      <c r="H530" s="15"/>
      <c r="I530" s="24">
        <f t="shared" si="26"/>
        <v>0</v>
      </c>
    </row>
    <row r="531" spans="1:9">
      <c r="A531" s="2"/>
      <c r="B531" s="2"/>
      <c r="C531" s="2"/>
      <c r="D531" s="13"/>
      <c r="E531" s="18"/>
      <c r="F531" s="18"/>
      <c r="G531" s="14"/>
      <c r="H531" s="15"/>
      <c r="I531" s="24">
        <f t="shared" si="26"/>
        <v>0</v>
      </c>
    </row>
    <row r="532" spans="1:9">
      <c r="A532" s="2"/>
      <c r="B532" s="2"/>
      <c r="C532" s="2"/>
      <c r="D532" s="16" t="s">
        <v>74</v>
      </c>
      <c r="E532" s="12"/>
      <c r="F532" s="12"/>
      <c r="G532" s="17" t="s">
        <v>75</v>
      </c>
      <c r="H532" s="12" t="s">
        <v>76</v>
      </c>
      <c r="I532" s="29">
        <f>SUM(I527:I531)</f>
        <v>2</v>
      </c>
    </row>
    <row r="535" spans="1:9">
      <c r="A535" s="6" t="s">
        <v>198</v>
      </c>
      <c r="B535" s="19" t="s">
        <v>199</v>
      </c>
      <c r="C535" s="19"/>
      <c r="D535" s="19"/>
      <c r="E535" s="19"/>
      <c r="F535" s="19"/>
      <c r="G535" s="19"/>
      <c r="H535" s="19"/>
      <c r="I535" s="19"/>
    </row>
    <row r="538" spans="1:9">
      <c r="A538" s="6" t="s">
        <v>200</v>
      </c>
      <c r="B538" s="19" t="s">
        <v>201</v>
      </c>
      <c r="C538" s="19"/>
      <c r="D538" s="19"/>
      <c r="E538" s="19"/>
      <c r="F538" s="19"/>
      <c r="G538" s="19"/>
      <c r="H538" s="19"/>
      <c r="I538" s="19"/>
    </row>
    <row r="541" spans="1:9">
      <c r="A541" s="7" t="s">
        <v>202</v>
      </c>
      <c r="B541" s="19" t="s">
        <v>272</v>
      </c>
      <c r="C541" s="19"/>
      <c r="D541" s="19"/>
      <c r="E541" s="19"/>
      <c r="F541" s="19"/>
      <c r="G541" s="19"/>
      <c r="H541" s="19"/>
      <c r="I541" s="19"/>
    </row>
    <row r="542" spans="1:9">
      <c r="D542" s="16" t="s">
        <v>74</v>
      </c>
      <c r="E542" s="12"/>
      <c r="F542" s="12"/>
      <c r="G542" s="17"/>
      <c r="H542" s="12" t="s">
        <v>228</v>
      </c>
      <c r="I542" s="11"/>
    </row>
    <row r="545" spans="1:9">
      <c r="A545" s="7" t="s">
        <v>203</v>
      </c>
      <c r="B545" s="19" t="s">
        <v>204</v>
      </c>
      <c r="C545" s="19"/>
      <c r="D545" s="19"/>
      <c r="E545" s="19"/>
      <c r="F545" s="19"/>
      <c r="G545" s="19"/>
      <c r="H545" s="19"/>
      <c r="I545" s="19"/>
    </row>
    <row r="546" spans="1:9">
      <c r="D546" s="16" t="s">
        <v>74</v>
      </c>
      <c r="E546" s="12"/>
      <c r="F546" s="12"/>
      <c r="G546" s="17"/>
      <c r="H546" s="12" t="s">
        <v>227</v>
      </c>
      <c r="I546" s="10"/>
    </row>
    <row r="549" spans="1:9">
      <c r="A549" s="7" t="s">
        <v>205</v>
      </c>
      <c r="B549" s="19" t="s">
        <v>206</v>
      </c>
      <c r="C549" s="19"/>
      <c r="D549" s="19"/>
      <c r="E549" s="19"/>
      <c r="F549" s="19"/>
      <c r="G549" s="19"/>
      <c r="H549" s="19"/>
      <c r="I549" s="19"/>
    </row>
    <row r="550" spans="1:9">
      <c r="D550" s="16" t="s">
        <v>74</v>
      </c>
      <c r="E550" s="12"/>
      <c r="F550" s="12"/>
      <c r="G550" s="17"/>
      <c r="H550" s="12" t="s">
        <v>227</v>
      </c>
      <c r="I550" s="10"/>
    </row>
    <row r="553" spans="1:9">
      <c r="A553" s="6" t="s">
        <v>207</v>
      </c>
      <c r="B553" s="19" t="s">
        <v>208</v>
      </c>
      <c r="C553" s="19"/>
      <c r="D553" s="19"/>
      <c r="E553" s="19"/>
      <c r="F553" s="19"/>
      <c r="G553" s="19"/>
      <c r="H553" s="19"/>
      <c r="I553" s="19"/>
    </row>
    <row r="556" spans="1:9">
      <c r="A556" s="7" t="s">
        <v>209</v>
      </c>
      <c r="B556" s="19" t="s">
        <v>276</v>
      </c>
      <c r="C556" s="19"/>
      <c r="D556" s="19"/>
      <c r="E556" s="19"/>
      <c r="F556" s="19"/>
      <c r="G556" s="19"/>
      <c r="H556" s="19"/>
      <c r="I556" s="19"/>
    </row>
    <row r="559" spans="1:9">
      <c r="A559" s="7" t="s">
        <v>339</v>
      </c>
      <c r="B559" s="19" t="s">
        <v>336</v>
      </c>
      <c r="C559" s="19"/>
      <c r="D559" s="19"/>
      <c r="E559" s="19"/>
      <c r="F559" s="19"/>
      <c r="G559" s="19"/>
      <c r="H559" s="19"/>
      <c r="I559" s="19"/>
    </row>
    <row r="560" spans="1:9">
      <c r="A560" s="2"/>
      <c r="B560" s="9" t="s">
        <v>70</v>
      </c>
      <c r="C560" s="9"/>
      <c r="D560" s="20" t="s">
        <v>73</v>
      </c>
      <c r="E560" s="21"/>
      <c r="F560" s="21"/>
      <c r="G560" s="22" t="s">
        <v>71</v>
      </c>
      <c r="H560" s="23"/>
      <c r="I560" s="21" t="s">
        <v>72</v>
      </c>
    </row>
    <row r="561" spans="1:9">
      <c r="A561" s="2"/>
      <c r="B561" s="2"/>
      <c r="C561" s="2"/>
      <c r="D561" s="13"/>
      <c r="E561" s="18"/>
      <c r="F561" s="18"/>
      <c r="G561" s="14"/>
      <c r="H561" s="15"/>
      <c r="I561" s="24">
        <f>ROUND(PRODUCT(ROUND(PRODUCT(D561,E561,F561), 0),G561,H561), 0)</f>
        <v>0</v>
      </c>
    </row>
    <row r="562" spans="1:9">
      <c r="A562" s="2"/>
      <c r="C562" s="2"/>
      <c r="D562" s="13">
        <v>13</v>
      </c>
      <c r="E562" s="18"/>
      <c r="F562" s="18"/>
      <c r="G562" s="14"/>
      <c r="H562" s="15"/>
      <c r="I562" s="24">
        <f t="shared" ref="I562:I565" si="27">ROUND(PRODUCT(ROUND(PRODUCT(D562,E562,F562), 0),G562,H562), 0)</f>
        <v>13</v>
      </c>
    </row>
    <row r="563" spans="1:9">
      <c r="A563" s="2"/>
      <c r="B563" s="2"/>
      <c r="C563" s="2"/>
      <c r="D563" s="13"/>
      <c r="E563" s="18"/>
      <c r="F563" s="18"/>
      <c r="G563" s="14"/>
      <c r="H563" s="15"/>
      <c r="I563" s="24">
        <f t="shared" si="27"/>
        <v>0</v>
      </c>
    </row>
    <row r="564" spans="1:9">
      <c r="A564" s="2"/>
      <c r="B564" s="2"/>
      <c r="C564" s="2"/>
      <c r="D564" s="13"/>
      <c r="E564" s="18"/>
      <c r="F564" s="18"/>
      <c r="G564" s="14"/>
      <c r="H564" s="15"/>
      <c r="I564" s="24">
        <f t="shared" si="27"/>
        <v>0</v>
      </c>
    </row>
    <row r="565" spans="1:9">
      <c r="A565" s="2"/>
      <c r="B565" s="2"/>
      <c r="C565" s="2"/>
      <c r="D565" s="13"/>
      <c r="E565" s="18"/>
      <c r="F565" s="18"/>
      <c r="G565" s="14"/>
      <c r="H565" s="15"/>
      <c r="I565" s="24">
        <f t="shared" si="27"/>
        <v>0</v>
      </c>
    </row>
    <row r="566" spans="1:9">
      <c r="A566" s="2"/>
      <c r="B566" s="2"/>
      <c r="C566" s="2"/>
      <c r="D566" s="16" t="s">
        <v>74</v>
      </c>
      <c r="E566" s="12"/>
      <c r="F566" s="12"/>
      <c r="G566" s="17" t="s">
        <v>337</v>
      </c>
      <c r="H566" s="12" t="s">
        <v>76</v>
      </c>
      <c r="I566" s="29">
        <f>SUM(I561:I565)</f>
        <v>13</v>
      </c>
    </row>
    <row r="569" spans="1:9">
      <c r="A569" s="7" t="s">
        <v>277</v>
      </c>
      <c r="B569" s="19" t="s">
        <v>273</v>
      </c>
      <c r="C569" s="19"/>
      <c r="D569" s="19"/>
      <c r="E569" s="19"/>
      <c r="F569" s="19"/>
      <c r="G569" s="19"/>
      <c r="H569" s="19"/>
      <c r="I569" s="19"/>
    </row>
    <row r="570" spans="1:9">
      <c r="A570" s="2"/>
      <c r="B570" s="9" t="s">
        <v>70</v>
      </c>
      <c r="C570" s="9"/>
      <c r="D570" s="20" t="s">
        <v>73</v>
      </c>
      <c r="E570" s="21"/>
      <c r="F570" s="21"/>
      <c r="G570" s="22" t="s">
        <v>71</v>
      </c>
      <c r="H570" s="23"/>
      <c r="I570" s="21" t="s">
        <v>72</v>
      </c>
    </row>
    <row r="571" spans="1:9">
      <c r="A571" s="2"/>
      <c r="B571" s="2"/>
      <c r="C571" s="2"/>
      <c r="D571" s="13"/>
      <c r="E571" s="18"/>
      <c r="F571" s="18"/>
      <c r="G571" s="14"/>
      <c r="H571" s="15"/>
      <c r="I571" s="24">
        <f>ROUND(PRODUCT(ROUND(PRODUCT(D571,E571,F571), 0),G571,H571), 0)</f>
        <v>0</v>
      </c>
    </row>
    <row r="572" spans="1:9">
      <c r="A572" s="2"/>
      <c r="B572" s="1" t="s">
        <v>274</v>
      </c>
      <c r="C572" s="2"/>
      <c r="D572" s="13">
        <v>0</v>
      </c>
      <c r="E572" s="18"/>
      <c r="F572" s="18"/>
      <c r="G572" s="14"/>
      <c r="H572" s="15"/>
      <c r="I572" s="24">
        <f t="shared" ref="I572:I575" si="28">ROUND(PRODUCT(ROUND(PRODUCT(D572,E572,F572), 0),G572,H572), 0)</f>
        <v>0</v>
      </c>
    </row>
    <row r="573" spans="1:9">
      <c r="A573" s="2"/>
      <c r="B573" s="2"/>
      <c r="C573" s="2"/>
      <c r="D573" s="13"/>
      <c r="E573" s="18"/>
      <c r="F573" s="18"/>
      <c r="G573" s="14"/>
      <c r="H573" s="15"/>
      <c r="I573" s="24">
        <f t="shared" si="28"/>
        <v>0</v>
      </c>
    </row>
    <row r="574" spans="1:9">
      <c r="A574" s="2"/>
      <c r="B574" s="2"/>
      <c r="C574" s="2"/>
      <c r="D574" s="13"/>
      <c r="E574" s="18"/>
      <c r="F574" s="18"/>
      <c r="G574" s="14"/>
      <c r="H574" s="15"/>
      <c r="I574" s="24">
        <f t="shared" si="28"/>
        <v>0</v>
      </c>
    </row>
    <row r="575" spans="1:9">
      <c r="A575" s="2"/>
      <c r="B575" s="2"/>
      <c r="C575" s="2"/>
      <c r="D575" s="13"/>
      <c r="E575" s="18"/>
      <c r="F575" s="18"/>
      <c r="G575" s="14"/>
      <c r="H575" s="15"/>
      <c r="I575" s="24">
        <f t="shared" si="28"/>
        <v>0</v>
      </c>
    </row>
    <row r="576" spans="1:9">
      <c r="A576" s="2"/>
      <c r="B576" s="2"/>
      <c r="C576" s="2"/>
      <c r="D576" s="16" t="s">
        <v>74</v>
      </c>
      <c r="E576" s="12"/>
      <c r="F576" s="12"/>
      <c r="G576" s="17" t="s">
        <v>90</v>
      </c>
      <c r="H576" s="12" t="s">
        <v>76</v>
      </c>
      <c r="I576" s="29">
        <f>SUM(I571:I575)</f>
        <v>0</v>
      </c>
    </row>
    <row r="579" spans="1:9">
      <c r="A579" s="7" t="s">
        <v>210</v>
      </c>
      <c r="B579" s="19" t="s">
        <v>278</v>
      </c>
      <c r="C579" s="19"/>
      <c r="D579" s="19"/>
      <c r="E579" s="19"/>
      <c r="F579" s="19"/>
      <c r="G579" s="19"/>
      <c r="H579" s="19"/>
      <c r="I579" s="19"/>
    </row>
    <row r="582" spans="1:9">
      <c r="A582" s="7" t="s">
        <v>279</v>
      </c>
      <c r="B582" s="19" t="s">
        <v>275</v>
      </c>
      <c r="C582" s="19"/>
      <c r="D582" s="19"/>
      <c r="E582" s="19"/>
      <c r="F582" s="19"/>
      <c r="G582" s="19"/>
      <c r="H582" s="19"/>
      <c r="I582" s="19"/>
    </row>
    <row r="583" spans="1:9">
      <c r="A583" s="2"/>
      <c r="B583" s="9" t="s">
        <v>70</v>
      </c>
      <c r="C583" s="9"/>
      <c r="D583" s="20" t="s">
        <v>73</v>
      </c>
      <c r="E583" s="21"/>
      <c r="F583" s="21"/>
      <c r="G583" s="22" t="s">
        <v>71</v>
      </c>
      <c r="H583" s="23"/>
      <c r="I583" s="21" t="s">
        <v>72</v>
      </c>
    </row>
    <row r="584" spans="1:9">
      <c r="A584" s="2"/>
      <c r="B584" s="2"/>
      <c r="C584" s="2"/>
      <c r="D584" s="13"/>
      <c r="E584" s="18"/>
      <c r="F584" s="18"/>
      <c r="G584" s="14"/>
      <c r="H584" s="15"/>
      <c r="I584" s="24">
        <f>ROUND(PRODUCT(ROUND(PRODUCT(D584,E584,F584), 0),G584,H584), 0)</f>
        <v>0</v>
      </c>
    </row>
    <row r="585" spans="1:9">
      <c r="A585" s="2"/>
      <c r="B585" s="1" t="s">
        <v>258</v>
      </c>
      <c r="C585" s="2"/>
      <c r="D585" s="13">
        <v>3</v>
      </c>
      <c r="E585" s="18"/>
      <c r="F585" s="18"/>
      <c r="G585" s="14"/>
      <c r="H585" s="15"/>
      <c r="I585" s="24">
        <f t="shared" ref="I585:I588" si="29">ROUND(PRODUCT(ROUND(PRODUCT(D585,E585,F585), 0),G585,H585), 0)</f>
        <v>3</v>
      </c>
    </row>
    <row r="586" spans="1:9">
      <c r="A586" s="2"/>
      <c r="B586" s="2" t="s">
        <v>226</v>
      </c>
      <c r="C586" s="2"/>
      <c r="D586" s="13"/>
      <c r="E586" s="18"/>
      <c r="F586" s="18"/>
      <c r="G586" s="14"/>
      <c r="H586" s="15"/>
      <c r="I586" s="24">
        <f t="shared" si="29"/>
        <v>0</v>
      </c>
    </row>
    <row r="587" spans="1:9">
      <c r="A587" s="2"/>
      <c r="B587" s="2" t="s">
        <v>259</v>
      </c>
      <c r="C587" s="2"/>
      <c r="D587" s="13"/>
      <c r="E587" s="18"/>
      <c r="F587" s="18"/>
      <c r="G587" s="14"/>
      <c r="H587" s="15"/>
      <c r="I587" s="24">
        <f t="shared" si="29"/>
        <v>0</v>
      </c>
    </row>
    <row r="588" spans="1:9">
      <c r="A588" s="2"/>
      <c r="B588" s="2"/>
      <c r="C588" s="2"/>
      <c r="D588" s="13"/>
      <c r="E588" s="18"/>
      <c r="F588" s="18"/>
      <c r="G588" s="14"/>
      <c r="H588" s="15"/>
      <c r="I588" s="24">
        <f t="shared" si="29"/>
        <v>0</v>
      </c>
    </row>
    <row r="589" spans="1:9">
      <c r="A589" s="2"/>
      <c r="B589" s="2"/>
      <c r="C589" s="2"/>
      <c r="D589" s="16" t="s">
        <v>74</v>
      </c>
      <c r="E589" s="12"/>
      <c r="F589" s="12"/>
      <c r="G589" s="17" t="s">
        <v>75</v>
      </c>
      <c r="H589" s="12" t="s">
        <v>76</v>
      </c>
      <c r="I589" s="29">
        <f>SUM(I584:I588)</f>
        <v>3</v>
      </c>
    </row>
    <row r="592" spans="1:9">
      <c r="A592" s="7" t="s">
        <v>280</v>
      </c>
      <c r="B592" s="19" t="s">
        <v>281</v>
      </c>
      <c r="C592" s="19"/>
      <c r="D592" s="19"/>
      <c r="E592" s="19"/>
      <c r="F592" s="19"/>
      <c r="G592" s="19"/>
      <c r="H592" s="19"/>
      <c r="I592" s="19"/>
    </row>
    <row r="593" spans="1:9">
      <c r="A593" s="2"/>
      <c r="B593" s="9" t="s">
        <v>70</v>
      </c>
      <c r="C593" s="9"/>
      <c r="D593" s="20" t="s">
        <v>73</v>
      </c>
      <c r="E593" s="21"/>
      <c r="F593" s="21"/>
      <c r="G593" s="22" t="s">
        <v>71</v>
      </c>
      <c r="H593" s="23"/>
      <c r="I593" s="21" t="s">
        <v>72</v>
      </c>
    </row>
    <row r="594" spans="1:9">
      <c r="A594" s="2"/>
      <c r="B594" s="2"/>
      <c r="C594" s="2"/>
      <c r="D594" s="13"/>
      <c r="E594" s="18"/>
      <c r="F594" s="18"/>
      <c r="G594" s="14"/>
      <c r="H594" s="15"/>
      <c r="I594" s="24">
        <f>ROUND(PRODUCT(ROUND(PRODUCT(D594,E594,F594), 0),G594,H594), 0)</f>
        <v>0</v>
      </c>
    </row>
    <row r="595" spans="1:9">
      <c r="A595" s="2"/>
      <c r="B595" s="1" t="s">
        <v>274</v>
      </c>
      <c r="C595" s="2"/>
      <c r="D595" s="13"/>
      <c r="E595" s="18"/>
      <c r="F595" s="18"/>
      <c r="G595" s="14"/>
      <c r="H595" s="15"/>
      <c r="I595" s="24">
        <f t="shared" ref="I595:I598" si="30">ROUND(PRODUCT(ROUND(PRODUCT(D595,E595,F595), 0),G595,H595), 0)</f>
        <v>0</v>
      </c>
    </row>
    <row r="596" spans="1:9">
      <c r="A596" s="2"/>
      <c r="B596" s="2"/>
      <c r="C596" s="2"/>
      <c r="D596" s="13"/>
      <c r="E596" s="18"/>
      <c r="F596" s="18"/>
      <c r="G596" s="14"/>
      <c r="H596" s="15"/>
      <c r="I596" s="24">
        <f t="shared" si="30"/>
        <v>0</v>
      </c>
    </row>
    <row r="597" spans="1:9">
      <c r="A597" s="2"/>
      <c r="B597" s="2"/>
      <c r="C597" s="2"/>
      <c r="D597" s="13"/>
      <c r="E597" s="18"/>
      <c r="F597" s="18"/>
      <c r="G597" s="14"/>
      <c r="H597" s="15"/>
      <c r="I597" s="24">
        <f t="shared" si="30"/>
        <v>0</v>
      </c>
    </row>
    <row r="598" spans="1:9">
      <c r="A598" s="2"/>
      <c r="B598" s="2"/>
      <c r="C598" s="2"/>
      <c r="D598" s="13"/>
      <c r="E598" s="18"/>
      <c r="F598" s="18"/>
      <c r="G598" s="14"/>
      <c r="H598" s="15"/>
      <c r="I598" s="24">
        <f t="shared" si="30"/>
        <v>0</v>
      </c>
    </row>
    <row r="599" spans="1:9">
      <c r="A599" s="2"/>
      <c r="B599" s="2"/>
      <c r="C599" s="2"/>
      <c r="D599" s="16" t="s">
        <v>74</v>
      </c>
      <c r="E599" s="12"/>
      <c r="F599" s="12"/>
      <c r="G599" s="17" t="s">
        <v>90</v>
      </c>
      <c r="H599" s="12" t="s">
        <v>76</v>
      </c>
      <c r="I599" s="29">
        <f>SUM(I594:I598)</f>
        <v>0</v>
      </c>
    </row>
    <row r="602" spans="1:9">
      <c r="A602" s="6" t="s">
        <v>211</v>
      </c>
      <c r="B602" s="19" t="s">
        <v>212</v>
      </c>
      <c r="C602" s="19"/>
      <c r="D602" s="19"/>
      <c r="E602" s="19"/>
      <c r="F602" s="19"/>
      <c r="G602" s="19"/>
      <c r="H602" s="19"/>
      <c r="I602" s="19"/>
    </row>
    <row r="605" spans="1:9">
      <c r="A605" s="6" t="s">
        <v>213</v>
      </c>
      <c r="B605" s="19" t="s">
        <v>214</v>
      </c>
      <c r="C605" s="19"/>
      <c r="D605" s="19"/>
      <c r="E605" s="19"/>
      <c r="F605" s="19"/>
      <c r="G605" s="19"/>
      <c r="H605" s="19"/>
      <c r="I605" s="19"/>
    </row>
    <row r="608" spans="1:9">
      <c r="A608" s="7" t="s">
        <v>235</v>
      </c>
      <c r="B608" s="19" t="s">
        <v>236</v>
      </c>
      <c r="C608" s="19"/>
      <c r="D608" s="19"/>
      <c r="E608" s="19"/>
      <c r="F608" s="19"/>
      <c r="G608" s="19"/>
      <c r="H608" s="19"/>
      <c r="I608" s="19"/>
    </row>
    <row r="609" spans="1:9">
      <c r="A609" s="2"/>
      <c r="B609" s="9" t="s">
        <v>70</v>
      </c>
      <c r="C609" s="9"/>
      <c r="D609" s="20" t="s">
        <v>73</v>
      </c>
      <c r="E609" s="21"/>
      <c r="F609" s="21"/>
      <c r="G609" s="22" t="s">
        <v>71</v>
      </c>
      <c r="H609" s="23"/>
      <c r="I609" s="21" t="s">
        <v>72</v>
      </c>
    </row>
    <row r="610" spans="1:9">
      <c r="A610" s="2"/>
      <c r="B610" s="2"/>
      <c r="C610" s="2"/>
      <c r="D610" s="13"/>
      <c r="E610" s="18"/>
      <c r="F610" s="18"/>
      <c r="G610" s="14"/>
      <c r="H610" s="15"/>
      <c r="I610" s="24">
        <f>ROUND(PRODUCT(ROUND(PRODUCT(D610,E610,F610), 0),G610,H610), 0)</f>
        <v>0</v>
      </c>
    </row>
    <row r="611" spans="1:9">
      <c r="A611" s="2"/>
      <c r="B611" s="1" t="s">
        <v>282</v>
      </c>
      <c r="C611" s="2"/>
      <c r="D611" s="13">
        <v>3</v>
      </c>
      <c r="E611" s="18"/>
      <c r="F611" s="18"/>
      <c r="G611" s="14"/>
      <c r="H611" s="15"/>
      <c r="I611" s="24">
        <f t="shared" ref="I611:I614" si="31">ROUND(PRODUCT(ROUND(PRODUCT(D611,E611,F611), 0),G611,H611), 0)</f>
        <v>3</v>
      </c>
    </row>
    <row r="612" spans="1:9">
      <c r="A612" s="2"/>
      <c r="B612" s="2"/>
      <c r="C612" s="2"/>
      <c r="D612" s="13"/>
      <c r="E612" s="18"/>
      <c r="F612" s="18"/>
      <c r="G612" s="14"/>
      <c r="H612" s="15"/>
      <c r="I612" s="24">
        <f t="shared" si="31"/>
        <v>0</v>
      </c>
    </row>
    <row r="613" spans="1:9">
      <c r="A613" s="2"/>
      <c r="B613" s="2"/>
      <c r="C613" s="2"/>
      <c r="D613" s="13"/>
      <c r="E613" s="18"/>
      <c r="F613" s="18"/>
      <c r="G613" s="14"/>
      <c r="H613" s="15"/>
      <c r="I613" s="24">
        <f t="shared" si="31"/>
        <v>0</v>
      </c>
    </row>
    <row r="614" spans="1:9">
      <c r="A614" s="2"/>
      <c r="B614" s="2"/>
      <c r="C614" s="2"/>
      <c r="D614" s="13"/>
      <c r="E614" s="18"/>
      <c r="F614" s="18"/>
      <c r="G614" s="14"/>
      <c r="H614" s="15"/>
      <c r="I614" s="24">
        <f t="shared" si="31"/>
        <v>0</v>
      </c>
    </row>
    <row r="615" spans="1:9">
      <c r="A615" s="2"/>
      <c r="B615" s="2"/>
      <c r="C615" s="2"/>
      <c r="D615" s="16" t="s">
        <v>74</v>
      </c>
      <c r="E615" s="12"/>
      <c r="F615" s="12"/>
      <c r="G615" s="17" t="s">
        <v>75</v>
      </c>
      <c r="H615" s="12" t="s">
        <v>76</v>
      </c>
      <c r="I615" s="29">
        <f>SUM(I610:I614)</f>
        <v>3</v>
      </c>
    </row>
    <row r="618" spans="1:9">
      <c r="A618" s="7" t="s">
        <v>237</v>
      </c>
      <c r="B618" s="19" t="s">
        <v>247</v>
      </c>
      <c r="C618" s="19"/>
      <c r="D618" s="19"/>
      <c r="E618" s="19"/>
      <c r="F618" s="19"/>
      <c r="G618" s="19"/>
      <c r="H618" s="19"/>
      <c r="I618" s="19"/>
    </row>
    <row r="619" spans="1:9">
      <c r="A619" s="2"/>
      <c r="B619" s="9" t="s">
        <v>70</v>
      </c>
      <c r="C619" s="9"/>
      <c r="D619" s="20" t="s">
        <v>73</v>
      </c>
      <c r="E619" s="21"/>
      <c r="F619" s="21"/>
      <c r="G619" s="22" t="s">
        <v>71</v>
      </c>
      <c r="H619" s="23"/>
      <c r="I619" s="21" t="s">
        <v>72</v>
      </c>
    </row>
    <row r="620" spans="1:9">
      <c r="A620" s="2"/>
      <c r="B620" s="2"/>
      <c r="C620" s="2"/>
      <c r="D620" s="13"/>
      <c r="E620" s="18"/>
      <c r="F620" s="18"/>
      <c r="G620" s="14"/>
      <c r="H620" s="15"/>
      <c r="I620" s="24">
        <f>ROUND(PRODUCT(ROUND(PRODUCT(D620,E620,F620), 0),G620,H620), 0)</f>
        <v>0</v>
      </c>
    </row>
    <row r="621" spans="1:9">
      <c r="A621" s="2"/>
      <c r="B621" s="1" t="s">
        <v>248</v>
      </c>
      <c r="C621" s="2"/>
      <c r="D621" s="13">
        <v>1</v>
      </c>
      <c r="E621" s="18"/>
      <c r="F621" s="18"/>
      <c r="G621" s="14"/>
      <c r="H621" s="15"/>
      <c r="I621" s="24">
        <f t="shared" ref="I621:I624" si="32">ROUND(PRODUCT(ROUND(PRODUCT(D621,E621,F621), 0),G621,H621), 0)</f>
        <v>1</v>
      </c>
    </row>
    <row r="622" spans="1:9">
      <c r="A622" s="2"/>
      <c r="B622" s="2"/>
      <c r="C622" s="2"/>
      <c r="D622" s="13"/>
      <c r="E622" s="18"/>
      <c r="F622" s="18"/>
      <c r="G622" s="14"/>
      <c r="H622" s="15"/>
      <c r="I622" s="24">
        <f t="shared" si="32"/>
        <v>0</v>
      </c>
    </row>
    <row r="623" spans="1:9">
      <c r="A623" s="2"/>
      <c r="B623" s="2"/>
      <c r="C623" s="2"/>
      <c r="D623" s="13"/>
      <c r="E623" s="18"/>
      <c r="F623" s="18"/>
      <c r="G623" s="14"/>
      <c r="H623" s="15"/>
      <c r="I623" s="24">
        <f t="shared" si="32"/>
        <v>0</v>
      </c>
    </row>
    <row r="624" spans="1:9">
      <c r="A624" s="2"/>
      <c r="B624" s="2"/>
      <c r="C624" s="2"/>
      <c r="D624" s="13"/>
      <c r="E624" s="18"/>
      <c r="F624" s="18"/>
      <c r="G624" s="14"/>
      <c r="H624" s="15"/>
      <c r="I624" s="24">
        <f t="shared" si="32"/>
        <v>0</v>
      </c>
    </row>
    <row r="625" spans="1:9">
      <c r="A625" s="2"/>
      <c r="B625" s="2"/>
      <c r="C625" s="2"/>
      <c r="D625" s="16" t="s">
        <v>74</v>
      </c>
      <c r="E625" s="12"/>
      <c r="F625" s="12"/>
      <c r="G625" s="17" t="s">
        <v>75</v>
      </c>
      <c r="H625" s="12" t="s">
        <v>76</v>
      </c>
      <c r="I625" s="29">
        <f>SUM(I620:I624)</f>
        <v>1</v>
      </c>
    </row>
    <row r="627" spans="1:9" ht="14.25" customHeight="1"/>
    <row r="628" spans="1:9">
      <c r="A628" s="6" t="s">
        <v>215</v>
      </c>
      <c r="B628" s="19" t="s">
        <v>216</v>
      </c>
      <c r="C628" s="19"/>
      <c r="D628" s="19"/>
      <c r="E628" s="19"/>
      <c r="F628" s="19"/>
      <c r="G628" s="19"/>
      <c r="H628" s="19"/>
      <c r="I628" s="19"/>
    </row>
    <row r="631" spans="1:9">
      <c r="A631" s="6" t="s">
        <v>217</v>
      </c>
      <c r="B631" s="19" t="s">
        <v>218</v>
      </c>
      <c r="C631" s="19"/>
      <c r="D631" s="19"/>
      <c r="E631" s="19"/>
      <c r="F631" s="19"/>
      <c r="G631" s="19"/>
      <c r="H631" s="19"/>
      <c r="I631" s="19"/>
    </row>
    <row r="634" spans="1:9">
      <c r="A634" s="6" t="s">
        <v>219</v>
      </c>
      <c r="B634" s="19" t="s">
        <v>220</v>
      </c>
      <c r="C634" s="19"/>
      <c r="D634" s="19"/>
      <c r="E634" s="19"/>
      <c r="F634" s="19"/>
      <c r="G634" s="19"/>
      <c r="H634" s="19"/>
      <c r="I634" s="19"/>
    </row>
    <row r="637" spans="1:9">
      <c r="A637" s="7" t="s">
        <v>222</v>
      </c>
      <c r="B637" s="19" t="s">
        <v>338</v>
      </c>
      <c r="C637" s="19"/>
      <c r="D637" s="19"/>
      <c r="E637" s="19"/>
      <c r="F637" s="19"/>
      <c r="G637" s="19"/>
      <c r="H637" s="19"/>
      <c r="I637" s="19"/>
    </row>
    <row r="638" spans="1:9">
      <c r="A638" s="2"/>
      <c r="B638" s="9" t="s">
        <v>70</v>
      </c>
      <c r="C638" s="9"/>
      <c r="D638" s="20" t="s">
        <v>223</v>
      </c>
      <c r="E638" s="21"/>
      <c r="F638" s="21"/>
      <c r="G638" s="22" t="s">
        <v>71</v>
      </c>
      <c r="H638" s="23"/>
      <c r="I638" s="21" t="s">
        <v>72</v>
      </c>
    </row>
    <row r="639" spans="1:9">
      <c r="A639" s="2"/>
      <c r="B639" s="2"/>
      <c r="C639" s="2"/>
      <c r="D639" s="13"/>
      <c r="E639" s="18"/>
      <c r="F639" s="18"/>
      <c r="G639" s="14"/>
      <c r="H639" s="15"/>
      <c r="I639" s="24">
        <f>ROUND(PRODUCT(ROUND(PRODUCT(D639,E639,F639), 0),G639,H639), 0)</f>
        <v>0</v>
      </c>
    </row>
    <row r="640" spans="1:9">
      <c r="A640" s="2"/>
      <c r="B640" s="1" t="s">
        <v>249</v>
      </c>
      <c r="C640" s="2"/>
      <c r="D640" s="13">
        <v>425</v>
      </c>
      <c r="E640" s="18"/>
      <c r="F640" s="18"/>
      <c r="G640" s="14"/>
      <c r="H640" s="15">
        <v>12</v>
      </c>
      <c r="I640" s="24">
        <f t="shared" ref="I640:I641" si="33">ROUND(PRODUCT(ROUND(PRODUCT(D640,E640,F640), 0),G640,H640), 0)</f>
        <v>5100</v>
      </c>
    </row>
    <row r="641" spans="1:9">
      <c r="A641" s="2"/>
      <c r="B641" s="2"/>
      <c r="C641" s="2"/>
      <c r="D641" s="13"/>
      <c r="E641" s="18"/>
      <c r="F641" s="18"/>
      <c r="G641" s="14"/>
      <c r="H641" s="15"/>
      <c r="I641" s="24">
        <f t="shared" si="33"/>
        <v>0</v>
      </c>
    </row>
    <row r="642" spans="1:9">
      <c r="A642" s="2"/>
      <c r="B642" s="2"/>
      <c r="C642" s="2"/>
      <c r="D642" s="16" t="s">
        <v>74</v>
      </c>
      <c r="E642" s="12"/>
      <c r="F642" s="12"/>
      <c r="G642" s="17" t="s">
        <v>90</v>
      </c>
      <c r="H642" s="12" t="s">
        <v>76</v>
      </c>
      <c r="I642" s="29">
        <f>SUM(I639:I641)</f>
        <v>5100</v>
      </c>
    </row>
  </sheetData>
  <customSheetViews>
    <customSheetView guid="{2C2C9747-B0CA-48E2-A022-EAB318442176}" scale="115" zeroValues="0" hiddenRows="1" hiddenColumns="1" topLeftCell="A119">
      <selection activeCell="A134" sqref="A134"/>
    </customSheetView>
    <customSheetView guid="{A67801EE-16AB-4453-B88D-EB118836BA93}" scale="115" zeroValues="0" hiddenRows="1" hiddenColumns="1" topLeftCell="A119">
      <selection activeCell="A134" sqref="A134"/>
    </customSheetView>
  </customSheetViews>
  <phoneticPr fontId="11" type="noConversion"/>
  <pageMargins left="0.7" right="0.7" top="0.75" bottom="0.75" header="0.3" footer="0.3"/>
  <pageSetup paperSize="9" scale="54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479D8-307F-448A-8B20-F311845D5CAA}">
  <sheetPr>
    <pageSetUpPr fitToPage="1"/>
  </sheetPr>
  <dimension ref="A1:AD169"/>
  <sheetViews>
    <sheetView tabSelected="1" zoomScaleNormal="100" zoomScaleSheetLayoutView="100" workbookViewId="0">
      <pane xSplit="29" ySplit="8" topLeftCell="AD9" activePane="bottomRight" state="frozen"/>
      <selection activeCell="A2" sqref="A2"/>
      <selection pane="topRight" activeCell="AD2" sqref="AD2"/>
      <selection pane="bottomLeft" activeCell="A9" sqref="A9"/>
      <selection pane="bottomRight" activeCell="E18" sqref="E18"/>
    </sheetView>
  </sheetViews>
  <sheetFormatPr defaultRowHeight="15" customHeight="1" outlineLevelCol="2"/>
  <cols>
    <col min="1" max="1" width="6.42578125" style="66" customWidth="1"/>
    <col min="2" max="2" width="9.7109375" style="34" customWidth="1"/>
    <col min="3" max="3" width="71.85546875" style="34" customWidth="1"/>
    <col min="4" max="4" width="3.5703125" style="34" bestFit="1" customWidth="1"/>
    <col min="5" max="5" width="4.5703125" style="34" bestFit="1" customWidth="1"/>
    <col min="6" max="6" width="9.7109375" style="34" customWidth="1"/>
    <col min="7" max="7" width="11.5703125" style="34" customWidth="1"/>
    <col min="8" max="8" width="11.140625" style="34" customWidth="1"/>
    <col min="9" max="9" width="21.5703125" style="34" customWidth="1"/>
    <col min="10" max="10" width="13" style="34" customWidth="1"/>
    <col min="11" max="12" width="10.7109375" style="34" hidden="1" customWidth="1" outlineLevel="1"/>
    <col min="13" max="17" width="10.7109375" style="34" hidden="1" customWidth="1" outlineLevel="2"/>
    <col min="18" max="18" width="10.7109375" style="34" hidden="1" customWidth="1" outlineLevel="1"/>
    <col min="19" max="23" width="10.7109375" style="34" hidden="1" customWidth="1" outlineLevel="2"/>
    <col min="24" max="24" width="10.7109375" style="34" hidden="1" customWidth="1" outlineLevel="1"/>
    <col min="25" max="27" width="10.7109375" style="34" hidden="1" customWidth="1" outlineLevel="2"/>
    <col min="28" max="28" width="9.5703125" style="34" hidden="1" customWidth="1" outlineLevel="2"/>
    <col min="29" max="29" width="10.28515625" style="34" hidden="1" customWidth="1" outlineLevel="2"/>
    <col min="30" max="30" width="9.140625" style="34" collapsed="1"/>
    <col min="31" max="16384" width="9.140625" style="34"/>
  </cols>
  <sheetData>
    <row r="1" spans="1:29" ht="15" customHeight="1">
      <c r="A1" s="32"/>
      <c r="B1" s="33"/>
      <c r="C1" s="33"/>
      <c r="D1" s="33"/>
      <c r="E1" s="33"/>
      <c r="F1" s="33"/>
      <c r="G1" s="33"/>
      <c r="H1" s="33"/>
      <c r="I1" s="33"/>
      <c r="J1" s="33"/>
    </row>
    <row r="2" spans="1:29" s="1" customFormat="1" ht="15" customHeight="1"/>
    <row r="3" spans="1:29" s="1" customFormat="1" ht="15" customHeight="1">
      <c r="A3" s="1" t="s">
        <v>3</v>
      </c>
      <c r="B3" s="26" t="s">
        <v>316</v>
      </c>
      <c r="F3" s="27"/>
    </row>
    <row r="4" spans="1:29" s="1" customFormat="1" ht="15" customHeight="1">
      <c r="A4" s="1" t="s">
        <v>0</v>
      </c>
      <c r="B4" s="27"/>
      <c r="C4" s="1" t="str">
        <f>'Detail Elek'!B4</f>
        <v>Elektriciteit</v>
      </c>
      <c r="F4" s="27"/>
    </row>
    <row r="5" spans="1:29" s="1" customFormat="1" ht="15" customHeight="1">
      <c r="A5" s="1" t="s">
        <v>1</v>
      </c>
      <c r="B5" s="28" t="s">
        <v>317</v>
      </c>
    </row>
    <row r="6" spans="1:29" s="1" customFormat="1" ht="15" customHeight="1">
      <c r="A6" s="1" t="s">
        <v>2</v>
      </c>
      <c r="B6" s="28" t="s">
        <v>318</v>
      </c>
      <c r="I6" s="4"/>
      <c r="J6" s="4"/>
    </row>
    <row r="7" spans="1:29" s="35" customFormat="1" ht="15" customHeight="1">
      <c r="L7" s="36" t="s">
        <v>288</v>
      </c>
      <c r="M7" s="37"/>
      <c r="N7" s="37"/>
      <c r="O7" s="37"/>
      <c r="P7" s="37"/>
      <c r="Q7" s="38"/>
      <c r="R7" s="39" t="s">
        <v>289</v>
      </c>
      <c r="S7" s="39"/>
      <c r="T7" s="39"/>
      <c r="U7" s="39"/>
      <c r="V7" s="39"/>
      <c r="W7" s="40"/>
      <c r="X7" s="41" t="s">
        <v>290</v>
      </c>
      <c r="Y7" s="41"/>
      <c r="Z7" s="41"/>
      <c r="AA7" s="41"/>
      <c r="AB7" s="41"/>
      <c r="AC7" s="42"/>
    </row>
    <row r="8" spans="1:29" s="55" customFormat="1" ht="15" customHeight="1">
      <c r="A8" s="43" t="s">
        <v>291</v>
      </c>
      <c r="B8" s="44" t="s">
        <v>292</v>
      </c>
      <c r="C8" s="45" t="s">
        <v>70</v>
      </c>
      <c r="D8" s="97" t="s">
        <v>293</v>
      </c>
      <c r="E8" s="98"/>
      <c r="F8" s="44" t="s">
        <v>294</v>
      </c>
      <c r="G8" s="46" t="s">
        <v>295</v>
      </c>
      <c r="H8" s="44" t="s">
        <v>296</v>
      </c>
      <c r="I8" s="47" t="s">
        <v>72</v>
      </c>
      <c r="J8" s="44"/>
      <c r="K8" s="48" t="s">
        <v>297</v>
      </c>
      <c r="L8" s="49" t="s">
        <v>298</v>
      </c>
      <c r="M8" s="49" t="s">
        <v>299</v>
      </c>
      <c r="N8" s="49" t="s">
        <v>300</v>
      </c>
      <c r="O8" s="49" t="s">
        <v>72</v>
      </c>
      <c r="P8" s="49" t="s">
        <v>301</v>
      </c>
      <c r="Q8" s="50" t="s">
        <v>302</v>
      </c>
      <c r="R8" s="51" t="s">
        <v>298</v>
      </c>
      <c r="S8" s="51" t="s">
        <v>299</v>
      </c>
      <c r="T8" s="51" t="s">
        <v>300</v>
      </c>
      <c r="U8" s="51" t="s">
        <v>72</v>
      </c>
      <c r="V8" s="51" t="s">
        <v>301</v>
      </c>
      <c r="W8" s="52" t="s">
        <v>302</v>
      </c>
      <c r="X8" s="53" t="s">
        <v>298</v>
      </c>
      <c r="Y8" s="53" t="s">
        <v>299</v>
      </c>
      <c r="Z8" s="53" t="s">
        <v>300</v>
      </c>
      <c r="AA8" s="53" t="s">
        <v>72</v>
      </c>
      <c r="AB8" s="53" t="s">
        <v>301</v>
      </c>
      <c r="AC8" s="54" t="s">
        <v>302</v>
      </c>
    </row>
    <row r="9" spans="1:29" s="55" customFormat="1" ht="15" customHeight="1">
      <c r="A9" s="2"/>
      <c r="B9" s="56" t="s">
        <v>306</v>
      </c>
      <c r="C9" s="57"/>
      <c r="D9" s="58"/>
      <c r="E9" s="57"/>
      <c r="F9" s="57"/>
      <c r="G9" s="57"/>
      <c r="H9" s="59"/>
      <c r="I9" s="59"/>
      <c r="J9" s="60"/>
      <c r="K9" s="61"/>
      <c r="L9" s="62"/>
      <c r="M9" s="57"/>
      <c r="N9" s="63"/>
      <c r="O9" s="59">
        <f t="shared" ref="O9:O40" si="0">IF(MID($D9,3,1)="-","*********",ROUND(IF(NOT(ISNUMBER($G9)),IF(NOT(ISNUMBER($F9)),1,$F9),$G9)*(IF(NOT(ISNUMBER(N9)),L9,N9)),2))</f>
        <v>0</v>
      </c>
      <c r="P9" s="64" t="str">
        <f t="shared" ref="P9:P40" si="1">IF(O$164=0,"",O9/O$164)</f>
        <v/>
      </c>
      <c r="Q9" s="65" t="str">
        <f t="shared" ref="Q9:Q40" si="2">IF($K9=0,"",IF(NOT(ISNUMBER(N9)),L9,N9)/$K9-1)</f>
        <v/>
      </c>
      <c r="R9" s="62"/>
      <c r="S9" s="57"/>
      <c r="T9" s="63"/>
      <c r="U9" s="59">
        <f t="shared" ref="U9:U40" si="3">IF(MID($D9,3,1)="-","*********",ROUND(IF(NOT(ISNUMBER($G9)),IF(NOT(ISNUMBER($F9)),1,$F9),$G9)*(IF(NOT(ISNUMBER(T9)),R9,T9)),2))</f>
        <v>0</v>
      </c>
      <c r="V9" s="64" t="str">
        <f t="shared" ref="V9:V40" si="4">IF(U$164=0,"",U9/U$164)</f>
        <v/>
      </c>
      <c r="W9" s="65" t="str">
        <f t="shared" ref="W9:W40" si="5">IF($K9=0,"",IF(NOT(ISNUMBER(T9)),R9,T9)/$K9-1)</f>
        <v/>
      </c>
      <c r="X9" s="62"/>
      <c r="Y9" s="57"/>
      <c r="Z9" s="63"/>
      <c r="AA9" s="59">
        <f t="shared" ref="AA9:AA40" si="6">IF(MID($D9,3,1)="-","*********",ROUND(IF(NOT(ISNUMBER($G9)),IF(NOT(ISNUMBER($F9)),1,$F9),$G9)*(IF(NOT(ISNUMBER(Z9)),X9,Z9)),2))</f>
        <v>0</v>
      </c>
      <c r="AB9" s="64" t="str">
        <f t="shared" ref="AB9:AB40" si="7">IF(AA$164=0,"",AA9/AA$164)</f>
        <v/>
      </c>
      <c r="AC9" s="65" t="str">
        <f t="shared" ref="AC9:AC40" si="8">IF($K9=0,"",IF(NOT(ISNUMBER(Z9)),X9,Z9)/$K9-1)</f>
        <v/>
      </c>
    </row>
    <row r="10" spans="1:29" ht="15" customHeight="1">
      <c r="A10" s="2"/>
      <c r="B10" s="67" t="str">
        <f>[1]!ArticleCode(Art_00.)</f>
        <v>00.</v>
      </c>
      <c r="C10" s="68" t="str">
        <f>[1]!ArticleDescription(Art_00.)</f>
        <v>ALGEMENE BEPALINGEN</v>
      </c>
      <c r="D10" s="57"/>
      <c r="E10" s="57"/>
      <c r="F10" s="57"/>
      <c r="G10" s="57"/>
      <c r="H10" s="59"/>
      <c r="I10" s="59"/>
      <c r="J10" s="60"/>
      <c r="K10" s="61"/>
      <c r="L10" s="62"/>
      <c r="M10" s="57"/>
      <c r="N10" s="63"/>
      <c r="O10" s="59">
        <f t="shared" si="0"/>
        <v>0</v>
      </c>
      <c r="P10" s="64" t="str">
        <f t="shared" si="1"/>
        <v/>
      </c>
      <c r="Q10" s="65" t="str">
        <f t="shared" si="2"/>
        <v/>
      </c>
      <c r="R10" s="62"/>
      <c r="S10" s="57"/>
      <c r="T10" s="63"/>
      <c r="U10" s="59">
        <f t="shared" si="3"/>
        <v>0</v>
      </c>
      <c r="V10" s="64" t="str">
        <f t="shared" si="4"/>
        <v/>
      </c>
      <c r="W10" s="65" t="str">
        <f t="shared" si="5"/>
        <v/>
      </c>
      <c r="X10" s="62"/>
      <c r="Y10" s="57"/>
      <c r="Z10" s="63"/>
      <c r="AA10" s="59">
        <f t="shared" si="6"/>
        <v>0</v>
      </c>
      <c r="AB10" s="64" t="str">
        <f t="shared" si="7"/>
        <v/>
      </c>
      <c r="AC10" s="65" t="str">
        <f t="shared" si="8"/>
        <v/>
      </c>
    </row>
    <row r="11" spans="1:29" ht="15" customHeight="1">
      <c r="A11" s="2"/>
      <c r="B11" s="67" t="str">
        <f>[1]!ArticleCode(Art_00.10.)</f>
        <v>00.10.</v>
      </c>
      <c r="C11" s="68" t="str">
        <f>[1]!ArticleDescription(Art_00.10.)</f>
        <v>projectgegevens</v>
      </c>
      <c r="D11" s="57"/>
      <c r="E11" s="57"/>
      <c r="F11" s="57"/>
      <c r="G11" s="57"/>
      <c r="H11" s="59"/>
      <c r="I11" s="59"/>
      <c r="J11" s="60"/>
      <c r="K11" s="61"/>
      <c r="L11" s="62"/>
      <c r="M11" s="57"/>
      <c r="N11" s="63"/>
      <c r="O11" s="59">
        <f t="shared" si="0"/>
        <v>0</v>
      </c>
      <c r="P11" s="64" t="str">
        <f t="shared" si="1"/>
        <v/>
      </c>
      <c r="Q11" s="65" t="str">
        <f t="shared" si="2"/>
        <v/>
      </c>
      <c r="R11" s="62"/>
      <c r="S11" s="57"/>
      <c r="T11" s="63"/>
      <c r="U11" s="59">
        <f t="shared" si="3"/>
        <v>0</v>
      </c>
      <c r="V11" s="64" t="str">
        <f t="shared" si="4"/>
        <v/>
      </c>
      <c r="W11" s="65" t="str">
        <f t="shared" si="5"/>
        <v/>
      </c>
      <c r="X11" s="62"/>
      <c r="Y11" s="57"/>
      <c r="Z11" s="63"/>
      <c r="AA11" s="59">
        <f t="shared" si="6"/>
        <v>0</v>
      </c>
      <c r="AB11" s="64" t="str">
        <f t="shared" si="7"/>
        <v/>
      </c>
      <c r="AC11" s="65" t="str">
        <f t="shared" si="8"/>
        <v/>
      </c>
    </row>
    <row r="12" spans="1:29" ht="15" customHeight="1">
      <c r="A12" s="2"/>
      <c r="B12" s="67" t="str">
        <f>[1]!ArticleCode(Art_00.20.)</f>
        <v>00.20.</v>
      </c>
      <c r="C12" s="68" t="str">
        <f>[1]!ArticleDescription(Art_00.20.)</f>
        <v>ontwerpteam</v>
      </c>
      <c r="D12" s="57"/>
      <c r="E12" s="57"/>
      <c r="F12" s="57"/>
      <c r="G12" s="57"/>
      <c r="H12" s="59"/>
      <c r="I12" s="59"/>
      <c r="J12" s="60"/>
      <c r="K12" s="61"/>
      <c r="L12" s="62"/>
      <c r="M12" s="57"/>
      <c r="N12" s="63"/>
      <c r="O12" s="59">
        <f t="shared" si="0"/>
        <v>0</v>
      </c>
      <c r="P12" s="64" t="str">
        <f t="shared" si="1"/>
        <v/>
      </c>
      <c r="Q12" s="65" t="str">
        <f t="shared" si="2"/>
        <v/>
      </c>
      <c r="R12" s="62"/>
      <c r="S12" s="57"/>
      <c r="T12" s="63"/>
      <c r="U12" s="59">
        <f t="shared" si="3"/>
        <v>0</v>
      </c>
      <c r="V12" s="64" t="str">
        <f t="shared" si="4"/>
        <v/>
      </c>
      <c r="W12" s="65" t="str">
        <f t="shared" si="5"/>
        <v/>
      </c>
      <c r="X12" s="62"/>
      <c r="Y12" s="57"/>
      <c r="Z12" s="63"/>
      <c r="AA12" s="59">
        <f t="shared" si="6"/>
        <v>0</v>
      </c>
      <c r="AB12" s="64" t="str">
        <f t="shared" si="7"/>
        <v/>
      </c>
      <c r="AC12" s="65" t="str">
        <f t="shared" si="8"/>
        <v/>
      </c>
    </row>
    <row r="13" spans="1:29" ht="15" customHeight="1">
      <c r="A13" s="2"/>
      <c r="B13" s="67" t="str">
        <f>[1]!ArticleCode(Art_00.21.)</f>
        <v>00.21.</v>
      </c>
      <c r="C13" s="68" t="str">
        <f>[1]!ArticleDescription(Art_00.21.)</f>
        <v>ontwerper</v>
      </c>
      <c r="D13" s="57"/>
      <c r="E13" s="57"/>
      <c r="F13" s="57"/>
      <c r="G13" s="57"/>
      <c r="H13" s="59"/>
      <c r="I13" s="59"/>
      <c r="J13" s="60"/>
      <c r="K13" s="61"/>
      <c r="L13" s="62"/>
      <c r="M13" s="57"/>
      <c r="N13" s="63"/>
      <c r="O13" s="59">
        <f t="shared" si="0"/>
        <v>0</v>
      </c>
      <c r="P13" s="64" t="str">
        <f t="shared" si="1"/>
        <v/>
      </c>
      <c r="Q13" s="65" t="str">
        <f t="shared" si="2"/>
        <v/>
      </c>
      <c r="R13" s="62"/>
      <c r="S13" s="57"/>
      <c r="T13" s="63"/>
      <c r="U13" s="59">
        <f t="shared" si="3"/>
        <v>0</v>
      </c>
      <c r="V13" s="64" t="str">
        <f t="shared" si="4"/>
        <v/>
      </c>
      <c r="W13" s="65" t="str">
        <f t="shared" si="5"/>
        <v/>
      </c>
      <c r="X13" s="62"/>
      <c r="Y13" s="57"/>
      <c r="Z13" s="63"/>
      <c r="AA13" s="59">
        <f t="shared" si="6"/>
        <v>0</v>
      </c>
      <c r="AB13" s="64" t="str">
        <f t="shared" si="7"/>
        <v/>
      </c>
      <c r="AC13" s="65" t="str">
        <f t="shared" si="8"/>
        <v/>
      </c>
    </row>
    <row r="14" spans="1:29" ht="15" customHeight="1">
      <c r="A14" s="2"/>
      <c r="B14" s="67" t="str">
        <f>[1]!ArticleCode(Art_00.24.)</f>
        <v>00.24.</v>
      </c>
      <c r="C14" s="68" t="str">
        <f>[1]!ArticleDescription(Art_00.24.)</f>
        <v>ontwerpteam - veiligheidscoördinatie</v>
      </c>
      <c r="D14" s="57"/>
      <c r="E14" s="57"/>
      <c r="F14" s="57"/>
      <c r="G14" s="57"/>
      <c r="H14" s="59"/>
      <c r="I14" s="59"/>
      <c r="J14" s="60"/>
      <c r="K14" s="61"/>
      <c r="L14" s="62"/>
      <c r="M14" s="57"/>
      <c r="N14" s="63"/>
      <c r="O14" s="59">
        <f t="shared" si="0"/>
        <v>0</v>
      </c>
      <c r="P14" s="64" t="str">
        <f t="shared" si="1"/>
        <v/>
      </c>
      <c r="Q14" s="65" t="str">
        <f t="shared" si="2"/>
        <v/>
      </c>
      <c r="R14" s="62"/>
      <c r="S14" s="57"/>
      <c r="T14" s="63"/>
      <c r="U14" s="59">
        <f t="shared" si="3"/>
        <v>0</v>
      </c>
      <c r="V14" s="64" t="str">
        <f t="shared" si="4"/>
        <v/>
      </c>
      <c r="W14" s="65" t="str">
        <f t="shared" si="5"/>
        <v/>
      </c>
      <c r="X14" s="62"/>
      <c r="Y14" s="57"/>
      <c r="Z14" s="63"/>
      <c r="AA14" s="59">
        <f t="shared" si="6"/>
        <v>0</v>
      </c>
      <c r="AB14" s="64" t="str">
        <f t="shared" si="7"/>
        <v/>
      </c>
      <c r="AC14" s="65" t="str">
        <f t="shared" si="8"/>
        <v/>
      </c>
    </row>
    <row r="15" spans="1:29" ht="15" customHeight="1">
      <c r="A15" s="2"/>
      <c r="B15" s="67" t="str">
        <f>[1]!ArticleCode(Art_00.25.)</f>
        <v>00.25.</v>
      </c>
      <c r="C15" s="68" t="str">
        <f>[1]!ArticleDescription(Art_00.25.)</f>
        <v>ontwerpteam – EPB verslaggeving</v>
      </c>
      <c r="D15" s="57"/>
      <c r="E15" s="57"/>
      <c r="F15" s="57"/>
      <c r="G15" s="57"/>
      <c r="H15" s="59"/>
      <c r="I15" s="59"/>
      <c r="J15" s="60"/>
      <c r="K15" s="61"/>
      <c r="L15" s="62"/>
      <c r="M15" s="57"/>
      <c r="N15" s="63"/>
      <c r="O15" s="59">
        <f t="shared" si="0"/>
        <v>0</v>
      </c>
      <c r="P15" s="64" t="str">
        <f t="shared" si="1"/>
        <v/>
      </c>
      <c r="Q15" s="65" t="str">
        <f t="shared" si="2"/>
        <v/>
      </c>
      <c r="R15" s="62"/>
      <c r="S15" s="57"/>
      <c r="T15" s="63"/>
      <c r="U15" s="59">
        <f t="shared" si="3"/>
        <v>0</v>
      </c>
      <c r="V15" s="64" t="str">
        <f t="shared" si="4"/>
        <v/>
      </c>
      <c r="W15" s="65" t="str">
        <f t="shared" si="5"/>
        <v/>
      </c>
      <c r="X15" s="62"/>
      <c r="Y15" s="57"/>
      <c r="Z15" s="63"/>
      <c r="AA15" s="59">
        <f t="shared" si="6"/>
        <v>0</v>
      </c>
      <c r="AB15" s="64" t="str">
        <f t="shared" si="7"/>
        <v/>
      </c>
      <c r="AC15" s="65" t="str">
        <f t="shared" si="8"/>
        <v/>
      </c>
    </row>
    <row r="16" spans="1:29" ht="15" customHeight="1">
      <c r="A16" s="2"/>
      <c r="B16" s="67" t="str">
        <f>[1]!ArticleCode(Art_00.30.)</f>
        <v>00.30.</v>
      </c>
      <c r="C16" s="68" t="str">
        <f>[1]!ArticleDescription(Art_00.30.)</f>
        <v>documenten</v>
      </c>
      <c r="D16" s="57"/>
      <c r="E16" s="57"/>
      <c r="F16" s="57"/>
      <c r="G16" s="57"/>
      <c r="H16" s="59"/>
      <c r="I16" s="59"/>
      <c r="J16" s="60"/>
      <c r="K16" s="61"/>
      <c r="L16" s="62"/>
      <c r="M16" s="57"/>
      <c r="N16" s="63"/>
      <c r="O16" s="59">
        <f t="shared" si="0"/>
        <v>0</v>
      </c>
      <c r="P16" s="64" t="str">
        <f t="shared" si="1"/>
        <v/>
      </c>
      <c r="Q16" s="65" t="str">
        <f t="shared" si="2"/>
        <v/>
      </c>
      <c r="R16" s="62"/>
      <c r="S16" s="57"/>
      <c r="T16" s="63"/>
      <c r="U16" s="59">
        <f t="shared" si="3"/>
        <v>0</v>
      </c>
      <c r="V16" s="64" t="str">
        <f t="shared" si="4"/>
        <v/>
      </c>
      <c r="W16" s="65" t="str">
        <f t="shared" si="5"/>
        <v/>
      </c>
      <c r="X16" s="62"/>
      <c r="Y16" s="57"/>
      <c r="Z16" s="63"/>
      <c r="AA16" s="59">
        <f t="shared" si="6"/>
        <v>0</v>
      </c>
      <c r="AB16" s="64" t="str">
        <f t="shared" si="7"/>
        <v/>
      </c>
      <c r="AC16" s="65" t="str">
        <f t="shared" si="8"/>
        <v/>
      </c>
    </row>
    <row r="17" spans="1:29" ht="15" customHeight="1">
      <c r="A17" s="2"/>
      <c r="B17" s="67" t="str">
        <f>[1]!ArticleCode(Art_00.31.)</f>
        <v>00.31.</v>
      </c>
      <c r="C17" s="68" t="str">
        <f>[1]!ArticleDescription(Art_00.31.)</f>
        <v>documenten - architectuur</v>
      </c>
      <c r="D17" s="57"/>
      <c r="E17" s="57"/>
      <c r="F17" s="57"/>
      <c r="G17" s="57"/>
      <c r="H17" s="59"/>
      <c r="I17" s="59"/>
      <c r="J17" s="60"/>
      <c r="K17" s="61"/>
      <c r="L17" s="62"/>
      <c r="M17" s="57"/>
      <c r="N17" s="63"/>
      <c r="O17" s="59">
        <f t="shared" si="0"/>
        <v>0</v>
      </c>
      <c r="P17" s="64" t="str">
        <f t="shared" si="1"/>
        <v/>
      </c>
      <c r="Q17" s="65" t="str">
        <f t="shared" si="2"/>
        <v/>
      </c>
      <c r="R17" s="62"/>
      <c r="S17" s="57"/>
      <c r="T17" s="63"/>
      <c r="U17" s="59">
        <f t="shared" si="3"/>
        <v>0</v>
      </c>
      <c r="V17" s="64" t="str">
        <f t="shared" si="4"/>
        <v/>
      </c>
      <c r="W17" s="65" t="str">
        <f t="shared" si="5"/>
        <v/>
      </c>
      <c r="X17" s="62"/>
      <c r="Y17" s="57"/>
      <c r="Z17" s="63"/>
      <c r="AA17" s="59">
        <f t="shared" si="6"/>
        <v>0</v>
      </c>
      <c r="AB17" s="64" t="str">
        <f t="shared" si="7"/>
        <v/>
      </c>
      <c r="AC17" s="65" t="str">
        <f t="shared" si="8"/>
        <v/>
      </c>
    </row>
    <row r="18" spans="1:29" ht="15" customHeight="1">
      <c r="A18" s="2"/>
      <c r="B18" s="67" t="str">
        <f>[1]!ArticleCode(Art_00.32.)</f>
        <v>00.32.</v>
      </c>
      <c r="C18" s="68" t="str">
        <f>[1]!ArticleDescription(Art_00.32.)</f>
        <v>documenten - stabiliteit</v>
      </c>
      <c r="D18" s="57"/>
      <c r="E18" s="57"/>
      <c r="F18" s="57"/>
      <c r="G18" s="57"/>
      <c r="H18" s="59"/>
      <c r="I18" s="59"/>
      <c r="J18" s="60"/>
      <c r="K18" s="61"/>
      <c r="L18" s="62"/>
      <c r="M18" s="57"/>
      <c r="N18" s="63"/>
      <c r="O18" s="59">
        <f t="shared" si="0"/>
        <v>0</v>
      </c>
      <c r="P18" s="64" t="str">
        <f t="shared" si="1"/>
        <v/>
      </c>
      <c r="Q18" s="65" t="str">
        <f t="shared" si="2"/>
        <v/>
      </c>
      <c r="R18" s="62"/>
      <c r="S18" s="57"/>
      <c r="T18" s="63"/>
      <c r="U18" s="59">
        <f t="shared" si="3"/>
        <v>0</v>
      </c>
      <c r="V18" s="64" t="str">
        <f t="shared" si="4"/>
        <v/>
      </c>
      <c r="W18" s="65" t="str">
        <f t="shared" si="5"/>
        <v/>
      </c>
      <c r="X18" s="62"/>
      <c r="Y18" s="57"/>
      <c r="Z18" s="63"/>
      <c r="AA18" s="59">
        <f t="shared" si="6"/>
        <v>0</v>
      </c>
      <c r="AB18" s="64" t="str">
        <f t="shared" si="7"/>
        <v/>
      </c>
      <c r="AC18" s="65" t="str">
        <f t="shared" si="8"/>
        <v/>
      </c>
    </row>
    <row r="19" spans="1:29" ht="15" customHeight="1">
      <c r="A19" s="2"/>
      <c r="B19" s="67" t="str">
        <f>[1]!ArticleCode(Art_00.33.)</f>
        <v>00.33.</v>
      </c>
      <c r="C19" s="68" t="str">
        <f>[1]!ArticleDescription(Art_00.33.)</f>
        <v>documenten - technieken</v>
      </c>
      <c r="D19" s="57"/>
      <c r="E19" s="57"/>
      <c r="F19" s="57"/>
      <c r="G19" s="57"/>
      <c r="H19" s="59"/>
      <c r="I19" s="59"/>
      <c r="J19" s="60"/>
      <c r="K19" s="61"/>
      <c r="L19" s="62"/>
      <c r="M19" s="57"/>
      <c r="N19" s="63"/>
      <c r="O19" s="59">
        <f t="shared" si="0"/>
        <v>0</v>
      </c>
      <c r="P19" s="64" t="str">
        <f t="shared" si="1"/>
        <v/>
      </c>
      <c r="Q19" s="65" t="str">
        <f t="shared" si="2"/>
        <v/>
      </c>
      <c r="R19" s="62"/>
      <c r="S19" s="57"/>
      <c r="T19" s="63"/>
      <c r="U19" s="59">
        <f t="shared" si="3"/>
        <v>0</v>
      </c>
      <c r="V19" s="64" t="str">
        <f t="shared" si="4"/>
        <v/>
      </c>
      <c r="W19" s="65" t="str">
        <f t="shared" si="5"/>
        <v/>
      </c>
      <c r="X19" s="62"/>
      <c r="Y19" s="57"/>
      <c r="Z19" s="63"/>
      <c r="AA19" s="59">
        <f t="shared" si="6"/>
        <v>0</v>
      </c>
      <c r="AB19" s="64" t="str">
        <f t="shared" si="7"/>
        <v/>
      </c>
      <c r="AC19" s="65" t="str">
        <f t="shared" si="8"/>
        <v/>
      </c>
    </row>
    <row r="20" spans="1:29" ht="15" customHeight="1">
      <c r="A20" s="2"/>
      <c r="B20" s="67" t="str">
        <f>[1]!ArticleCode(Art_00.34.)</f>
        <v>00.34.</v>
      </c>
      <c r="C20" s="68" t="str">
        <f>[1]!ArticleDescription(Art_00.34.)</f>
        <v>documenten - veiligheidsoördinatie</v>
      </c>
      <c r="D20" s="57"/>
      <c r="E20" s="57"/>
      <c r="F20" s="57"/>
      <c r="G20" s="57"/>
      <c r="H20" s="59"/>
      <c r="I20" s="59"/>
      <c r="J20" s="60"/>
      <c r="K20" s="61"/>
      <c r="L20" s="62"/>
      <c r="M20" s="57"/>
      <c r="N20" s="63"/>
      <c r="O20" s="59">
        <f t="shared" si="0"/>
        <v>0</v>
      </c>
      <c r="P20" s="64" t="str">
        <f t="shared" si="1"/>
        <v/>
      </c>
      <c r="Q20" s="65" t="str">
        <f t="shared" si="2"/>
        <v/>
      </c>
      <c r="R20" s="62"/>
      <c r="S20" s="57"/>
      <c r="T20" s="63"/>
      <c r="U20" s="59">
        <f t="shared" si="3"/>
        <v>0</v>
      </c>
      <c r="V20" s="64" t="str">
        <f t="shared" si="4"/>
        <v/>
      </c>
      <c r="W20" s="65" t="str">
        <f t="shared" si="5"/>
        <v/>
      </c>
      <c r="X20" s="62"/>
      <c r="Y20" s="57"/>
      <c r="Z20" s="63"/>
      <c r="AA20" s="59">
        <f t="shared" si="6"/>
        <v>0</v>
      </c>
      <c r="AB20" s="64" t="str">
        <f t="shared" si="7"/>
        <v/>
      </c>
      <c r="AC20" s="65" t="str">
        <f t="shared" si="8"/>
        <v/>
      </c>
    </row>
    <row r="21" spans="1:29" ht="15" customHeight="1">
      <c r="A21" s="2"/>
      <c r="B21" s="67" t="str">
        <f>[1]!ArticleCode(Art_00.35.)</f>
        <v>00.35.</v>
      </c>
      <c r="C21" s="68" t="str">
        <f>[1]!ArticleDescription(Art_00.35.)</f>
        <v>documenten – EPB verslaggeving</v>
      </c>
      <c r="D21" s="57"/>
      <c r="E21" s="57"/>
      <c r="F21" s="57"/>
      <c r="G21" s="57"/>
      <c r="H21" s="59"/>
      <c r="I21" s="59"/>
      <c r="J21" s="60"/>
      <c r="K21" s="61"/>
      <c r="L21" s="62"/>
      <c r="M21" s="57"/>
      <c r="N21" s="63"/>
      <c r="O21" s="59">
        <f t="shared" si="0"/>
        <v>0</v>
      </c>
      <c r="P21" s="64" t="str">
        <f t="shared" si="1"/>
        <v/>
      </c>
      <c r="Q21" s="65" t="str">
        <f t="shared" si="2"/>
        <v/>
      </c>
      <c r="R21" s="62"/>
      <c r="S21" s="57"/>
      <c r="T21" s="63"/>
      <c r="U21" s="59">
        <f t="shared" si="3"/>
        <v>0</v>
      </c>
      <c r="V21" s="64" t="str">
        <f t="shared" si="4"/>
        <v/>
      </c>
      <c r="W21" s="65" t="str">
        <f t="shared" si="5"/>
        <v/>
      </c>
      <c r="X21" s="62"/>
      <c r="Y21" s="57"/>
      <c r="Z21" s="63"/>
      <c r="AA21" s="59">
        <f t="shared" si="6"/>
        <v>0</v>
      </c>
      <c r="AB21" s="64" t="str">
        <f t="shared" si="7"/>
        <v/>
      </c>
      <c r="AC21" s="65" t="str">
        <f t="shared" si="8"/>
        <v/>
      </c>
    </row>
    <row r="22" spans="1:29" ht="15" customHeight="1">
      <c r="A22" s="2"/>
      <c r="B22" s="69"/>
      <c r="C22" s="70"/>
      <c r="D22" s="71"/>
      <c r="E22" s="70"/>
      <c r="F22" s="70"/>
      <c r="G22" s="70"/>
      <c r="H22" s="72"/>
      <c r="I22" s="72"/>
      <c r="J22" s="73">
        <f>SUBTOTAL(9,I10:I21)</f>
        <v>0</v>
      </c>
      <c r="K22" s="61"/>
      <c r="L22" s="62"/>
      <c r="M22" s="57"/>
      <c r="N22" s="63"/>
      <c r="O22" s="59">
        <f t="shared" si="0"/>
        <v>0</v>
      </c>
      <c r="P22" s="64" t="str">
        <f t="shared" si="1"/>
        <v/>
      </c>
      <c r="Q22" s="65" t="str">
        <f t="shared" si="2"/>
        <v/>
      </c>
      <c r="R22" s="62"/>
      <c r="S22" s="57"/>
      <c r="T22" s="63"/>
      <c r="U22" s="59">
        <f t="shared" si="3"/>
        <v>0</v>
      </c>
      <c r="V22" s="64" t="str">
        <f t="shared" si="4"/>
        <v/>
      </c>
      <c r="W22" s="65" t="str">
        <f t="shared" si="5"/>
        <v/>
      </c>
      <c r="X22" s="62"/>
      <c r="Y22" s="57"/>
      <c r="Z22" s="63"/>
      <c r="AA22" s="59">
        <f t="shared" si="6"/>
        <v>0</v>
      </c>
      <c r="AB22" s="64" t="str">
        <f t="shared" si="7"/>
        <v/>
      </c>
      <c r="AC22" s="65" t="str">
        <f t="shared" si="8"/>
        <v/>
      </c>
    </row>
    <row r="23" spans="1:29" ht="15" customHeight="1">
      <c r="A23" s="2"/>
      <c r="B23" s="74"/>
      <c r="C23" s="57"/>
      <c r="D23" s="57"/>
      <c r="E23" s="57"/>
      <c r="F23" s="57"/>
      <c r="G23" s="57"/>
      <c r="H23" s="59"/>
      <c r="I23" s="59"/>
      <c r="J23" s="60"/>
      <c r="K23" s="61"/>
      <c r="L23" s="62"/>
      <c r="M23" s="57"/>
      <c r="N23" s="63"/>
      <c r="O23" s="59">
        <f t="shared" si="0"/>
        <v>0</v>
      </c>
      <c r="P23" s="64" t="str">
        <f t="shared" si="1"/>
        <v/>
      </c>
      <c r="Q23" s="65" t="str">
        <f t="shared" si="2"/>
        <v/>
      </c>
      <c r="R23" s="62"/>
      <c r="S23" s="57"/>
      <c r="T23" s="63"/>
      <c r="U23" s="59">
        <f t="shared" si="3"/>
        <v>0</v>
      </c>
      <c r="V23" s="64" t="str">
        <f t="shared" si="4"/>
        <v/>
      </c>
      <c r="W23" s="65" t="str">
        <f t="shared" si="5"/>
        <v/>
      </c>
      <c r="X23" s="62"/>
      <c r="Y23" s="57"/>
      <c r="Z23" s="63"/>
      <c r="AA23" s="59">
        <f t="shared" si="6"/>
        <v>0</v>
      </c>
      <c r="AB23" s="64" t="str">
        <f t="shared" si="7"/>
        <v/>
      </c>
      <c r="AC23" s="65" t="str">
        <f t="shared" si="8"/>
        <v/>
      </c>
    </row>
    <row r="24" spans="1:29" ht="15" customHeight="1">
      <c r="A24" s="2"/>
      <c r="B24" s="56" t="s">
        <v>307</v>
      </c>
      <c r="C24" s="57"/>
      <c r="D24" s="58"/>
      <c r="E24" s="57"/>
      <c r="F24" s="57"/>
      <c r="G24" s="57"/>
      <c r="H24" s="59"/>
      <c r="I24" s="59"/>
      <c r="J24" s="60"/>
      <c r="K24" s="61"/>
      <c r="L24" s="62"/>
      <c r="M24" s="57"/>
      <c r="N24" s="63"/>
      <c r="O24" s="59">
        <f t="shared" si="0"/>
        <v>0</v>
      </c>
      <c r="P24" s="64" t="str">
        <f t="shared" si="1"/>
        <v/>
      </c>
      <c r="Q24" s="65" t="str">
        <f t="shared" si="2"/>
        <v/>
      </c>
      <c r="R24" s="62"/>
      <c r="S24" s="57"/>
      <c r="T24" s="63"/>
      <c r="U24" s="59">
        <f t="shared" si="3"/>
        <v>0</v>
      </c>
      <c r="V24" s="64" t="str">
        <f t="shared" si="4"/>
        <v/>
      </c>
      <c r="W24" s="65" t="str">
        <f t="shared" si="5"/>
        <v/>
      </c>
      <c r="X24" s="62"/>
      <c r="Y24" s="57"/>
      <c r="Z24" s="63"/>
      <c r="AA24" s="59">
        <f t="shared" si="6"/>
        <v>0</v>
      </c>
      <c r="AB24" s="64" t="str">
        <f t="shared" si="7"/>
        <v/>
      </c>
      <c r="AC24" s="65" t="str">
        <f t="shared" si="8"/>
        <v/>
      </c>
    </row>
    <row r="25" spans="1:29" ht="15" customHeight="1">
      <c r="A25" s="2"/>
      <c r="B25" s="67" t="str">
        <f>[1]!ArticleCode(Art_01.)</f>
        <v>01.</v>
      </c>
      <c r="C25" s="68" t="str">
        <f>[1]!ArticleDescription(Art_01.)</f>
        <v>AANNEMINGSMODALITEITEN</v>
      </c>
      <c r="D25" s="57"/>
      <c r="E25" s="57"/>
      <c r="F25" s="57"/>
      <c r="G25" s="57"/>
      <c r="H25" s="59"/>
      <c r="I25" s="59"/>
      <c r="J25" s="60"/>
      <c r="K25" s="61"/>
      <c r="L25" s="62"/>
      <c r="M25" s="57"/>
      <c r="N25" s="63"/>
      <c r="O25" s="59">
        <f t="shared" si="0"/>
        <v>0</v>
      </c>
      <c r="P25" s="64" t="str">
        <f t="shared" si="1"/>
        <v/>
      </c>
      <c r="Q25" s="65" t="str">
        <f t="shared" si="2"/>
        <v/>
      </c>
      <c r="R25" s="62"/>
      <c r="S25" s="57"/>
      <c r="T25" s="63"/>
      <c r="U25" s="59">
        <f t="shared" si="3"/>
        <v>0</v>
      </c>
      <c r="V25" s="64" t="str">
        <f t="shared" si="4"/>
        <v/>
      </c>
      <c r="W25" s="65" t="str">
        <f t="shared" si="5"/>
        <v/>
      </c>
      <c r="X25" s="62"/>
      <c r="Y25" s="57"/>
      <c r="Z25" s="63"/>
      <c r="AA25" s="59">
        <f t="shared" si="6"/>
        <v>0</v>
      </c>
      <c r="AB25" s="64" t="str">
        <f t="shared" si="7"/>
        <v/>
      </c>
      <c r="AC25" s="65" t="str">
        <f t="shared" si="8"/>
        <v/>
      </c>
    </row>
    <row r="26" spans="1:29" ht="15" customHeight="1">
      <c r="A26" s="2"/>
      <c r="B26" s="67" t="str">
        <f>[1]!ArticleCode(Art_01.00.)</f>
        <v>01.00.</v>
      </c>
      <c r="C26" s="68" t="str">
        <f>[1]!ArticleDescription(Art_01.00.)</f>
        <v>aannemingsmodaliteiten - algemeen</v>
      </c>
      <c r="D26" s="57"/>
      <c r="E26" s="57"/>
      <c r="F26" s="57"/>
      <c r="G26" s="57"/>
      <c r="H26" s="59"/>
      <c r="I26" s="59"/>
      <c r="J26" s="60"/>
      <c r="K26" s="61"/>
      <c r="L26" s="62"/>
      <c r="M26" s="57"/>
      <c r="N26" s="63"/>
      <c r="O26" s="59">
        <f t="shared" si="0"/>
        <v>0</v>
      </c>
      <c r="P26" s="64" t="str">
        <f t="shared" si="1"/>
        <v/>
      </c>
      <c r="Q26" s="65" t="str">
        <f t="shared" si="2"/>
        <v/>
      </c>
      <c r="R26" s="62"/>
      <c r="S26" s="57"/>
      <c r="T26" s="63"/>
      <c r="U26" s="59">
        <f t="shared" si="3"/>
        <v>0</v>
      </c>
      <c r="V26" s="64" t="str">
        <f t="shared" si="4"/>
        <v/>
      </c>
      <c r="W26" s="65" t="str">
        <f t="shared" si="5"/>
        <v/>
      </c>
      <c r="X26" s="62"/>
      <c r="Y26" s="57"/>
      <c r="Z26" s="63"/>
      <c r="AA26" s="59">
        <f t="shared" si="6"/>
        <v>0</v>
      </c>
      <c r="AB26" s="64" t="str">
        <f t="shared" si="7"/>
        <v/>
      </c>
      <c r="AC26" s="65" t="str">
        <f t="shared" si="8"/>
        <v/>
      </c>
    </row>
    <row r="27" spans="1:29" ht="15" customHeight="1">
      <c r="A27" s="2">
        <v>1</v>
      </c>
      <c r="B27" s="67" t="str">
        <f>[1]!ArticleCode(Art_01.01.)</f>
        <v>01.01.</v>
      </c>
      <c r="C27" s="68" t="str">
        <f>[1]!ArticleDescription(Art_01.01.)</f>
        <v xml:space="preserve">aannemingsmodaliteiten – bestek </v>
      </c>
      <c r="D27" s="57" t="str">
        <f>[1]!ArticleMeasureType(Art_01.01.)</f>
        <v/>
      </c>
      <c r="E27" s="57" t="str">
        <f>[1]!ArticleMeasureUnit(Art_01.01.)</f>
        <v>PM</v>
      </c>
      <c r="F27" s="75" t="str">
        <f>[1]!ArticleQuantity(Art_01.01.)</f>
        <v/>
      </c>
      <c r="G27" s="57"/>
      <c r="H27" s="59"/>
      <c r="I27" s="59">
        <f t="shared" ref="I27:I34" si="9">IF(RIGHT($D27,1)="-","************",ROUND(IF(NOT(ISNUMBER(G27)),IF(NOT(ISNUMBER(F27)),1,F27),G27)*H27,2))</f>
        <v>0</v>
      </c>
      <c r="J27" s="60"/>
      <c r="K27" s="61"/>
      <c r="L27" s="62"/>
      <c r="M27" s="57"/>
      <c r="N27" s="63"/>
      <c r="O27" s="59">
        <f t="shared" si="0"/>
        <v>0</v>
      </c>
      <c r="P27" s="64" t="str">
        <f t="shared" si="1"/>
        <v/>
      </c>
      <c r="Q27" s="65" t="str">
        <f t="shared" si="2"/>
        <v/>
      </c>
      <c r="R27" s="62"/>
      <c r="S27" s="57"/>
      <c r="T27" s="63"/>
      <c r="U27" s="59">
        <f t="shared" si="3"/>
        <v>0</v>
      </c>
      <c r="V27" s="64" t="str">
        <f t="shared" si="4"/>
        <v/>
      </c>
      <c r="W27" s="65" t="str">
        <f t="shared" si="5"/>
        <v/>
      </c>
      <c r="X27" s="62"/>
      <c r="Y27" s="57"/>
      <c r="Z27" s="63"/>
      <c r="AA27" s="59">
        <f t="shared" si="6"/>
        <v>0</v>
      </c>
      <c r="AB27" s="64" t="str">
        <f t="shared" si="7"/>
        <v/>
      </c>
      <c r="AC27" s="65" t="str">
        <f t="shared" si="8"/>
        <v/>
      </c>
    </row>
    <row r="28" spans="1:29" ht="15" customHeight="1">
      <c r="A28" s="2">
        <f t="shared" ref="A28:A34" si="10">A27+1</f>
        <v>2</v>
      </c>
      <c r="B28" s="67" t="str">
        <f>[1]!ArticleCode(Art_01.02.)</f>
        <v>01.02.</v>
      </c>
      <c r="C28" s="68" t="str">
        <f>[1]!ArticleDescription(Art_01.02.)</f>
        <v xml:space="preserve">aannemingsmodaliteiten – voorafgaand plaatsbezoek </v>
      </c>
      <c r="D28" s="57" t="str">
        <f>[1]!ArticleMeasureType(Art_01.02.)</f>
        <v/>
      </c>
      <c r="E28" s="57" t="str">
        <f>[1]!ArticleMeasureUnit(Art_01.02.)</f>
        <v>PM</v>
      </c>
      <c r="F28" s="75" t="str">
        <f>[1]!ArticleQuantity(Art_01.02.)</f>
        <v/>
      </c>
      <c r="G28" s="57"/>
      <c r="H28" s="59"/>
      <c r="I28" s="59">
        <f t="shared" si="9"/>
        <v>0</v>
      </c>
      <c r="J28" s="60"/>
      <c r="K28" s="61"/>
      <c r="L28" s="62"/>
      <c r="M28" s="57"/>
      <c r="N28" s="63"/>
      <c r="O28" s="59">
        <f t="shared" si="0"/>
        <v>0</v>
      </c>
      <c r="P28" s="64" t="str">
        <f t="shared" si="1"/>
        <v/>
      </c>
      <c r="Q28" s="65" t="str">
        <f t="shared" si="2"/>
        <v/>
      </c>
      <c r="R28" s="62"/>
      <c r="S28" s="57"/>
      <c r="T28" s="63"/>
      <c r="U28" s="59">
        <f t="shared" si="3"/>
        <v>0</v>
      </c>
      <c r="V28" s="64" t="str">
        <f t="shared" si="4"/>
        <v/>
      </c>
      <c r="W28" s="65" t="str">
        <f t="shared" si="5"/>
        <v/>
      </c>
      <c r="X28" s="62"/>
      <c r="Y28" s="57"/>
      <c r="Z28" s="63"/>
      <c r="AA28" s="59">
        <f t="shared" si="6"/>
        <v>0</v>
      </c>
      <c r="AB28" s="64" t="str">
        <f t="shared" si="7"/>
        <v/>
      </c>
      <c r="AC28" s="65" t="str">
        <f t="shared" si="8"/>
        <v/>
      </c>
    </row>
    <row r="29" spans="1:29" ht="15" customHeight="1">
      <c r="A29" s="2">
        <f t="shared" si="10"/>
        <v>3</v>
      </c>
      <c r="B29" s="67" t="str">
        <f>[1]!ArticleCode(Art_01.03.)</f>
        <v>01.03.</v>
      </c>
      <c r="C29" s="68" t="str">
        <f>[1]!ArticleDescription(Art_01.03.)</f>
        <v xml:space="preserve">aannemingsmodaliteiten – burgerlijke aansprakelijkheid </v>
      </c>
      <c r="D29" s="57" t="str">
        <f>[1]!ArticleMeasureType(Art_01.03.)</f>
        <v/>
      </c>
      <c r="E29" s="57" t="str">
        <f>[1]!ArticleMeasureUnit(Art_01.03.)</f>
        <v>PM</v>
      </c>
      <c r="F29" s="75" t="str">
        <f>[1]!ArticleQuantity(Art_01.03.)</f>
        <v/>
      </c>
      <c r="G29" s="57"/>
      <c r="H29" s="59"/>
      <c r="I29" s="59">
        <f t="shared" si="9"/>
        <v>0</v>
      </c>
      <c r="J29" s="60"/>
      <c r="K29" s="61"/>
      <c r="L29" s="62"/>
      <c r="M29" s="57"/>
      <c r="N29" s="63"/>
      <c r="O29" s="59">
        <f t="shared" si="0"/>
        <v>0</v>
      </c>
      <c r="P29" s="64" t="str">
        <f t="shared" si="1"/>
        <v/>
      </c>
      <c r="Q29" s="65" t="str">
        <f t="shared" si="2"/>
        <v/>
      </c>
      <c r="R29" s="62"/>
      <c r="S29" s="57"/>
      <c r="T29" s="63"/>
      <c r="U29" s="59">
        <f t="shared" si="3"/>
        <v>0</v>
      </c>
      <c r="V29" s="64" t="str">
        <f t="shared" si="4"/>
        <v/>
      </c>
      <c r="W29" s="65" t="str">
        <f t="shared" si="5"/>
        <v/>
      </c>
      <c r="X29" s="62"/>
      <c r="Y29" s="57"/>
      <c r="Z29" s="63"/>
      <c r="AA29" s="59">
        <f t="shared" si="6"/>
        <v>0</v>
      </c>
      <c r="AB29" s="64" t="str">
        <f t="shared" si="7"/>
        <v/>
      </c>
      <c r="AC29" s="65" t="str">
        <f t="shared" si="8"/>
        <v/>
      </c>
    </row>
    <row r="30" spans="1:29" ht="15" customHeight="1">
      <c r="A30" s="2">
        <f t="shared" si="10"/>
        <v>4</v>
      </c>
      <c r="B30" s="67" t="str">
        <f>[1]!ArticleCode(Art_01.04.)</f>
        <v>01.04.</v>
      </c>
      <c r="C30" s="68" t="str">
        <f>[1]!ArticleDescription(Art_01.04.)</f>
        <v xml:space="preserve">aannemingsmodaliteiten – volledigheid van inschrijving </v>
      </c>
      <c r="D30" s="57" t="str">
        <f>[1]!ArticleMeasureType(Art_01.04.)</f>
        <v/>
      </c>
      <c r="E30" s="57" t="str">
        <f>[1]!ArticleMeasureUnit(Art_01.04.)</f>
        <v>PM</v>
      </c>
      <c r="F30" s="75" t="str">
        <f>[1]!ArticleQuantity(Art_01.04.)</f>
        <v/>
      </c>
      <c r="G30" s="57"/>
      <c r="H30" s="59"/>
      <c r="I30" s="59">
        <f t="shared" si="9"/>
        <v>0</v>
      </c>
      <c r="J30" s="60"/>
      <c r="K30" s="61"/>
      <c r="L30" s="62"/>
      <c r="M30" s="57"/>
      <c r="N30" s="63"/>
      <c r="O30" s="59">
        <f t="shared" si="0"/>
        <v>0</v>
      </c>
      <c r="P30" s="64" t="str">
        <f t="shared" si="1"/>
        <v/>
      </c>
      <c r="Q30" s="65" t="str">
        <f t="shared" si="2"/>
        <v/>
      </c>
      <c r="R30" s="62"/>
      <c r="S30" s="57"/>
      <c r="T30" s="63"/>
      <c r="U30" s="59">
        <f t="shared" si="3"/>
        <v>0</v>
      </c>
      <c r="V30" s="64" t="str">
        <f t="shared" si="4"/>
        <v/>
      </c>
      <c r="W30" s="65" t="str">
        <f t="shared" si="5"/>
        <v/>
      </c>
      <c r="X30" s="62"/>
      <c r="Y30" s="57"/>
      <c r="Z30" s="63"/>
      <c r="AA30" s="59">
        <f t="shared" si="6"/>
        <v>0</v>
      </c>
      <c r="AB30" s="64" t="str">
        <f t="shared" si="7"/>
        <v/>
      </c>
      <c r="AC30" s="65" t="str">
        <f t="shared" si="8"/>
        <v/>
      </c>
    </row>
    <row r="31" spans="1:29" ht="15" customHeight="1">
      <c r="A31" s="2">
        <f t="shared" si="10"/>
        <v>5</v>
      </c>
      <c r="B31" s="67" t="str">
        <f>[1]!ArticleCode(Art_01.05.)</f>
        <v>01.05.</v>
      </c>
      <c r="C31" s="68" t="str">
        <f>[1]!ArticleDescription(Art_01.05.)</f>
        <v xml:space="preserve">aannemingsmodaliteiten – onderaanneming </v>
      </c>
      <c r="D31" s="57" t="str">
        <f>[1]!ArticleMeasureType(Art_01.05.)</f>
        <v/>
      </c>
      <c r="E31" s="57" t="str">
        <f>[1]!ArticleMeasureUnit(Art_01.05.)</f>
        <v>PM</v>
      </c>
      <c r="F31" s="75" t="str">
        <f>[1]!ArticleQuantity(Art_01.05.)</f>
        <v/>
      </c>
      <c r="G31" s="57"/>
      <c r="H31" s="59"/>
      <c r="I31" s="59">
        <f t="shared" si="9"/>
        <v>0</v>
      </c>
      <c r="J31" s="60"/>
      <c r="K31" s="61"/>
      <c r="L31" s="62"/>
      <c r="M31" s="57"/>
      <c r="N31" s="63"/>
      <c r="O31" s="59">
        <f t="shared" si="0"/>
        <v>0</v>
      </c>
      <c r="P31" s="64" t="str">
        <f t="shared" si="1"/>
        <v/>
      </c>
      <c r="Q31" s="65" t="str">
        <f t="shared" si="2"/>
        <v/>
      </c>
      <c r="R31" s="62"/>
      <c r="S31" s="57"/>
      <c r="T31" s="63"/>
      <c r="U31" s="59">
        <f t="shared" si="3"/>
        <v>0</v>
      </c>
      <c r="V31" s="64" t="str">
        <f t="shared" si="4"/>
        <v/>
      </c>
      <c r="W31" s="65" t="str">
        <f t="shared" si="5"/>
        <v/>
      </c>
      <c r="X31" s="62"/>
      <c r="Y31" s="57"/>
      <c r="Z31" s="63"/>
      <c r="AA31" s="59">
        <f t="shared" si="6"/>
        <v>0</v>
      </c>
      <c r="AB31" s="64" t="str">
        <f t="shared" si="7"/>
        <v/>
      </c>
      <c r="AC31" s="65" t="str">
        <f t="shared" si="8"/>
        <v/>
      </c>
    </row>
    <row r="32" spans="1:29" ht="15" customHeight="1">
      <c r="A32" s="2">
        <f t="shared" si="10"/>
        <v>6</v>
      </c>
      <c r="B32" s="67" t="str">
        <f>[1]!ArticleCode(Art_01.06.)</f>
        <v>01.06.</v>
      </c>
      <c r="C32" s="68" t="str">
        <f>[1]!ArticleDescription(Art_01.06.)</f>
        <v xml:space="preserve">aannemingsmodaliteiten – verrekeningen </v>
      </c>
      <c r="D32" s="57" t="str">
        <f>[1]!ArticleMeasureType(Art_01.06.)</f>
        <v/>
      </c>
      <c r="E32" s="57" t="str">
        <f>[1]!ArticleMeasureUnit(Art_01.06.)</f>
        <v>PM</v>
      </c>
      <c r="F32" s="75" t="str">
        <f>[1]!ArticleQuantity(Art_01.06.)</f>
        <v/>
      </c>
      <c r="G32" s="57"/>
      <c r="H32" s="59"/>
      <c r="I32" s="59">
        <f t="shared" si="9"/>
        <v>0</v>
      </c>
      <c r="J32" s="60"/>
      <c r="K32" s="61"/>
      <c r="L32" s="62"/>
      <c r="M32" s="57"/>
      <c r="N32" s="63"/>
      <c r="O32" s="59">
        <f t="shared" si="0"/>
        <v>0</v>
      </c>
      <c r="P32" s="64" t="str">
        <f t="shared" si="1"/>
        <v/>
      </c>
      <c r="Q32" s="65" t="str">
        <f t="shared" si="2"/>
        <v/>
      </c>
      <c r="R32" s="62"/>
      <c r="S32" s="57"/>
      <c r="T32" s="63"/>
      <c r="U32" s="59">
        <f t="shared" si="3"/>
        <v>0</v>
      </c>
      <c r="V32" s="64" t="str">
        <f t="shared" si="4"/>
        <v/>
      </c>
      <c r="W32" s="65" t="str">
        <f t="shared" si="5"/>
        <v/>
      </c>
      <c r="X32" s="62"/>
      <c r="Y32" s="57"/>
      <c r="Z32" s="63"/>
      <c r="AA32" s="59">
        <f t="shared" si="6"/>
        <v>0</v>
      </c>
      <c r="AB32" s="64" t="str">
        <f t="shared" si="7"/>
        <v/>
      </c>
      <c r="AC32" s="65" t="str">
        <f t="shared" si="8"/>
        <v/>
      </c>
    </row>
    <row r="33" spans="1:29" ht="15" customHeight="1">
      <c r="A33" s="2">
        <f t="shared" si="10"/>
        <v>7</v>
      </c>
      <c r="B33" s="67" t="str">
        <f>[1]!ArticleCode(Art_01.07.)</f>
        <v>01.07.</v>
      </c>
      <c r="C33" s="68" t="str">
        <f>[1]!ArticleDescription(Art_01.07.)</f>
        <v xml:space="preserve">aannemingsmodaliteiten – keuringsattesten </v>
      </c>
      <c r="D33" s="57" t="str">
        <f>[1]!ArticleMeasureType(Art_01.07.)</f>
        <v/>
      </c>
      <c r="E33" s="57" t="str">
        <f>[1]!ArticleMeasureUnit(Art_01.07.)</f>
        <v>PM</v>
      </c>
      <c r="F33" s="75" t="str">
        <f>[1]!ArticleQuantity(Art_01.07.)</f>
        <v/>
      </c>
      <c r="G33" s="57"/>
      <c r="H33" s="59"/>
      <c r="I33" s="59">
        <f t="shared" si="9"/>
        <v>0</v>
      </c>
      <c r="J33" s="60"/>
      <c r="K33" s="61"/>
      <c r="L33" s="62"/>
      <c r="M33" s="57"/>
      <c r="N33" s="63"/>
      <c r="O33" s="59">
        <f t="shared" si="0"/>
        <v>0</v>
      </c>
      <c r="P33" s="64" t="str">
        <f t="shared" si="1"/>
        <v/>
      </c>
      <c r="Q33" s="65" t="str">
        <f t="shared" si="2"/>
        <v/>
      </c>
      <c r="R33" s="62"/>
      <c r="S33" s="57"/>
      <c r="T33" s="63"/>
      <c r="U33" s="59">
        <f t="shared" si="3"/>
        <v>0</v>
      </c>
      <c r="V33" s="64" t="str">
        <f t="shared" si="4"/>
        <v/>
      </c>
      <c r="W33" s="65" t="str">
        <f t="shared" si="5"/>
        <v/>
      </c>
      <c r="X33" s="62"/>
      <c r="Y33" s="57"/>
      <c r="Z33" s="63"/>
      <c r="AA33" s="59">
        <f t="shared" si="6"/>
        <v>0</v>
      </c>
      <c r="AB33" s="64" t="str">
        <f t="shared" si="7"/>
        <v/>
      </c>
      <c r="AC33" s="65" t="str">
        <f t="shared" si="8"/>
        <v/>
      </c>
    </row>
    <row r="34" spans="1:29" ht="15" customHeight="1">
      <c r="A34" s="2">
        <f t="shared" si="10"/>
        <v>8</v>
      </c>
      <c r="B34" s="67" t="str">
        <f>[1]!ArticleCode(Art_01.08.)</f>
        <v>01.08.</v>
      </c>
      <c r="C34" s="68" t="str">
        <f>[1]!ArticleDescription(Art_01.08.)</f>
        <v xml:space="preserve">aannemingsmodaliteiten – materialenlijst </v>
      </c>
      <c r="D34" s="57" t="str">
        <f>[1]!ArticleMeasureType(Art_01.08.)</f>
        <v/>
      </c>
      <c r="E34" s="57" t="str">
        <f>[1]!ArticleMeasureUnit(Art_01.08.)</f>
        <v>PM</v>
      </c>
      <c r="F34" s="75" t="str">
        <f>[1]!ArticleQuantity(Art_01.08.)</f>
        <v/>
      </c>
      <c r="G34" s="57"/>
      <c r="H34" s="59"/>
      <c r="I34" s="59">
        <f t="shared" si="9"/>
        <v>0</v>
      </c>
      <c r="J34" s="60"/>
      <c r="K34" s="61"/>
      <c r="L34" s="62"/>
      <c r="M34" s="57"/>
      <c r="N34" s="63"/>
      <c r="O34" s="59">
        <f t="shared" si="0"/>
        <v>0</v>
      </c>
      <c r="P34" s="64" t="str">
        <f t="shared" si="1"/>
        <v/>
      </c>
      <c r="Q34" s="65" t="str">
        <f t="shared" si="2"/>
        <v/>
      </c>
      <c r="R34" s="62"/>
      <c r="S34" s="57"/>
      <c r="T34" s="63"/>
      <c r="U34" s="59">
        <f t="shared" si="3"/>
        <v>0</v>
      </c>
      <c r="V34" s="64" t="str">
        <f t="shared" si="4"/>
        <v/>
      </c>
      <c r="W34" s="65" t="str">
        <f t="shared" si="5"/>
        <v/>
      </c>
      <c r="X34" s="62"/>
      <c r="Y34" s="57"/>
      <c r="Z34" s="63"/>
      <c r="AA34" s="59">
        <f t="shared" si="6"/>
        <v>0</v>
      </c>
      <c r="AB34" s="64" t="str">
        <f t="shared" si="7"/>
        <v/>
      </c>
      <c r="AC34" s="65" t="str">
        <f t="shared" si="8"/>
        <v/>
      </c>
    </row>
    <row r="35" spans="1:29" ht="15" customHeight="1">
      <c r="A35" s="2"/>
      <c r="B35" s="67" t="str">
        <f>[1]!ArticleCode(Art_01.20.)</f>
        <v>01.20.</v>
      </c>
      <c r="C35" s="68" t="str">
        <f>[1]!ArticleDescription(Art_01.20.)</f>
        <v>werfcoördinatie – algemeen</v>
      </c>
      <c r="D35" s="57"/>
      <c r="E35" s="57"/>
      <c r="F35" s="57"/>
      <c r="G35" s="57"/>
      <c r="H35" s="59"/>
      <c r="I35" s="59"/>
      <c r="J35" s="60"/>
      <c r="K35" s="61"/>
      <c r="L35" s="62"/>
      <c r="M35" s="57"/>
      <c r="N35" s="63"/>
      <c r="O35" s="59">
        <f t="shared" si="0"/>
        <v>0</v>
      </c>
      <c r="P35" s="64" t="str">
        <f t="shared" si="1"/>
        <v/>
      </c>
      <c r="Q35" s="65" t="str">
        <f t="shared" si="2"/>
        <v/>
      </c>
      <c r="R35" s="62"/>
      <c r="S35" s="57"/>
      <c r="T35" s="63"/>
      <c r="U35" s="59">
        <f t="shared" si="3"/>
        <v>0</v>
      </c>
      <c r="V35" s="64" t="str">
        <f t="shared" si="4"/>
        <v/>
      </c>
      <c r="W35" s="65" t="str">
        <f t="shared" si="5"/>
        <v/>
      </c>
      <c r="X35" s="62"/>
      <c r="Y35" s="57"/>
      <c r="Z35" s="63"/>
      <c r="AA35" s="59">
        <f t="shared" si="6"/>
        <v>0</v>
      </c>
      <c r="AB35" s="64" t="str">
        <f t="shared" si="7"/>
        <v/>
      </c>
      <c r="AC35" s="65" t="str">
        <f t="shared" si="8"/>
        <v/>
      </c>
    </row>
    <row r="36" spans="1:29" ht="15" customHeight="1">
      <c r="A36" s="2">
        <f>A34+1</f>
        <v>9</v>
      </c>
      <c r="B36" s="67" t="str">
        <f>[1]!ArticleCode(Art_01.21.)</f>
        <v>01.21.</v>
      </c>
      <c r="C36" s="68" t="str">
        <f>[1]!ArticleDescription(Art_01.21.)</f>
        <v xml:space="preserve">werfcoördinatie – planning van de werken </v>
      </c>
      <c r="D36" s="57" t="str">
        <f>[1]!ArticleMeasureType(Art_01.21.)</f>
        <v/>
      </c>
      <c r="E36" s="57" t="str">
        <f>[1]!ArticleMeasureUnit(Art_01.21.)</f>
        <v>PM</v>
      </c>
      <c r="F36" s="75" t="str">
        <f>[1]!ArticleQuantity(Art_01.21.)</f>
        <v/>
      </c>
      <c r="G36" s="57"/>
      <c r="H36" s="59"/>
      <c r="I36" s="59">
        <f>IF(RIGHT($D36,1)="-","************",ROUND(IF(NOT(ISNUMBER(G36)),IF(NOT(ISNUMBER(F36)),1,F36),G36)*H36,2))</f>
        <v>0</v>
      </c>
      <c r="J36" s="60"/>
      <c r="K36" s="61"/>
      <c r="L36" s="62"/>
      <c r="M36" s="57"/>
      <c r="N36" s="63"/>
      <c r="O36" s="59">
        <f t="shared" si="0"/>
        <v>0</v>
      </c>
      <c r="P36" s="64" t="str">
        <f t="shared" si="1"/>
        <v/>
      </c>
      <c r="Q36" s="65" t="str">
        <f t="shared" si="2"/>
        <v/>
      </c>
      <c r="R36" s="62"/>
      <c r="S36" s="57"/>
      <c r="T36" s="63"/>
      <c r="U36" s="59">
        <f t="shared" si="3"/>
        <v>0</v>
      </c>
      <c r="V36" s="64" t="str">
        <f t="shared" si="4"/>
        <v/>
      </c>
      <c r="W36" s="65" t="str">
        <f t="shared" si="5"/>
        <v/>
      </c>
      <c r="X36" s="62"/>
      <c r="Y36" s="57"/>
      <c r="Z36" s="63"/>
      <c r="AA36" s="59">
        <f t="shared" si="6"/>
        <v>0</v>
      </c>
      <c r="AB36" s="64" t="str">
        <f t="shared" si="7"/>
        <v/>
      </c>
      <c r="AC36" s="65" t="str">
        <f t="shared" si="8"/>
        <v/>
      </c>
    </row>
    <row r="37" spans="1:29" ht="15" customHeight="1">
      <c r="A37" s="2">
        <f>A36+1</f>
        <v>10</v>
      </c>
      <c r="B37" s="67" t="str">
        <f>[1]!ArticleCode(Art_01.23.)</f>
        <v>01.23.</v>
      </c>
      <c r="C37" s="68" t="str">
        <f>[1]!ArticleDescription(Art_01.23.)</f>
        <v xml:space="preserve">werfcoördinatie – werfvergaderingen </v>
      </c>
      <c r="D37" s="57" t="str">
        <f>[1]!ArticleMeasureType(Art_01.23.)</f>
        <v/>
      </c>
      <c r="E37" s="57" t="str">
        <f>[1]!ArticleMeasureUnit(Art_01.23.)</f>
        <v>PM</v>
      </c>
      <c r="F37" s="75" t="str">
        <f>[1]!ArticleQuantity(Art_01.23.)</f>
        <v/>
      </c>
      <c r="G37" s="57"/>
      <c r="H37" s="59"/>
      <c r="I37" s="59">
        <f>IF(RIGHT($D37,1)="-","************",ROUND(IF(NOT(ISNUMBER(G37)),IF(NOT(ISNUMBER(F37)),1,F37),G37)*H37,2))</f>
        <v>0</v>
      </c>
      <c r="J37" s="60"/>
      <c r="K37" s="61"/>
      <c r="L37" s="62"/>
      <c r="M37" s="57"/>
      <c r="N37" s="63"/>
      <c r="O37" s="59">
        <f t="shared" si="0"/>
        <v>0</v>
      </c>
      <c r="P37" s="64" t="str">
        <f t="shared" si="1"/>
        <v/>
      </c>
      <c r="Q37" s="65" t="str">
        <f t="shared" si="2"/>
        <v/>
      </c>
      <c r="R37" s="62"/>
      <c r="S37" s="57"/>
      <c r="T37" s="63"/>
      <c r="U37" s="59">
        <f t="shared" si="3"/>
        <v>0</v>
      </c>
      <c r="V37" s="64" t="str">
        <f t="shared" si="4"/>
        <v/>
      </c>
      <c r="W37" s="65" t="str">
        <f t="shared" si="5"/>
        <v/>
      </c>
      <c r="X37" s="62"/>
      <c r="Y37" s="57"/>
      <c r="Z37" s="63"/>
      <c r="AA37" s="59">
        <f t="shared" si="6"/>
        <v>0</v>
      </c>
      <c r="AB37" s="64" t="str">
        <f t="shared" si="7"/>
        <v/>
      </c>
      <c r="AC37" s="65" t="str">
        <f t="shared" si="8"/>
        <v/>
      </c>
    </row>
    <row r="38" spans="1:29" ht="15" customHeight="1">
      <c r="A38" s="2">
        <f>A37+1</f>
        <v>11</v>
      </c>
      <c r="B38" s="67" t="str">
        <f>[1]!ArticleCode(Art_01.25.)</f>
        <v>01.25.</v>
      </c>
      <c r="C38" s="68" t="str">
        <f>[1]!ArticleDescription(Art_01.25.)</f>
        <v xml:space="preserve">werfcoördinatie – as-builtdossier </v>
      </c>
      <c r="D38" s="57" t="str">
        <f>[1]!ArticleMeasureType(Art_01.25.)</f>
        <v/>
      </c>
      <c r="E38" s="57" t="str">
        <f>[1]!ArticleMeasureUnit(Art_01.25.)</f>
        <v>PM</v>
      </c>
      <c r="F38" s="75" t="str">
        <f>[1]!ArticleQuantity(Art_01.25.)</f>
        <v/>
      </c>
      <c r="G38" s="57"/>
      <c r="H38" s="59"/>
      <c r="I38" s="59">
        <f>IF(RIGHT($D38,1)="-","************",ROUND(IF(NOT(ISNUMBER(G38)),IF(NOT(ISNUMBER(F38)),1,F38),G38)*H38,2))</f>
        <v>0</v>
      </c>
      <c r="J38" s="60"/>
      <c r="K38" s="61"/>
      <c r="L38" s="62"/>
      <c r="M38" s="57"/>
      <c r="N38" s="63"/>
      <c r="O38" s="59">
        <f t="shared" si="0"/>
        <v>0</v>
      </c>
      <c r="P38" s="64" t="str">
        <f t="shared" si="1"/>
        <v/>
      </c>
      <c r="Q38" s="65" t="str">
        <f t="shared" si="2"/>
        <v/>
      </c>
      <c r="R38" s="62"/>
      <c r="S38" s="57"/>
      <c r="T38" s="63"/>
      <c r="U38" s="59">
        <f t="shared" si="3"/>
        <v>0</v>
      </c>
      <c r="V38" s="64" t="str">
        <f t="shared" si="4"/>
        <v/>
      </c>
      <c r="W38" s="65" t="str">
        <f t="shared" si="5"/>
        <v/>
      </c>
      <c r="X38" s="62"/>
      <c r="Y38" s="57"/>
      <c r="Z38" s="63"/>
      <c r="AA38" s="59">
        <f t="shared" si="6"/>
        <v>0</v>
      </c>
      <c r="AB38" s="64" t="str">
        <f t="shared" si="7"/>
        <v/>
      </c>
      <c r="AC38" s="65" t="str">
        <f t="shared" si="8"/>
        <v/>
      </c>
    </row>
    <row r="39" spans="1:29" ht="15" customHeight="1">
      <c r="A39" s="2"/>
      <c r="B39" s="67" t="str">
        <f>[1]!ArticleCode(Art_01.30.)</f>
        <v>01.30.</v>
      </c>
      <c r="C39" s="68" t="str">
        <f>[1]!ArticleDescription(Art_01.30.)</f>
        <v>werfcondities – algemeen</v>
      </c>
      <c r="D39" s="57"/>
      <c r="E39" s="57"/>
      <c r="F39" s="57"/>
      <c r="G39" s="57"/>
      <c r="H39" s="59"/>
      <c r="I39" s="59"/>
      <c r="J39" s="60"/>
      <c r="K39" s="61"/>
      <c r="L39" s="62"/>
      <c r="M39" s="57"/>
      <c r="N39" s="63"/>
      <c r="O39" s="59">
        <f t="shared" si="0"/>
        <v>0</v>
      </c>
      <c r="P39" s="64" t="str">
        <f t="shared" si="1"/>
        <v/>
      </c>
      <c r="Q39" s="65" t="str">
        <f t="shared" si="2"/>
        <v/>
      </c>
      <c r="R39" s="62"/>
      <c r="S39" s="57"/>
      <c r="T39" s="63"/>
      <c r="U39" s="59">
        <f t="shared" si="3"/>
        <v>0</v>
      </c>
      <c r="V39" s="64" t="str">
        <f t="shared" si="4"/>
        <v/>
      </c>
      <c r="W39" s="65" t="str">
        <f t="shared" si="5"/>
        <v/>
      </c>
      <c r="X39" s="62"/>
      <c r="Y39" s="57"/>
      <c r="Z39" s="63"/>
      <c r="AA39" s="59">
        <f t="shared" si="6"/>
        <v>0</v>
      </c>
      <c r="AB39" s="64" t="str">
        <f t="shared" si="7"/>
        <v/>
      </c>
      <c r="AC39" s="65" t="str">
        <f t="shared" si="8"/>
        <v/>
      </c>
    </row>
    <row r="40" spans="1:29" ht="15" customHeight="1">
      <c r="A40" s="2">
        <f>A38+1</f>
        <v>12</v>
      </c>
      <c r="B40" s="67" t="str">
        <f>[1]!ArticleCode(Art_01.31.)</f>
        <v>01.31.</v>
      </c>
      <c r="C40" s="68" t="str">
        <f>[1]!ArticleDescription(Art_01.31.)</f>
        <v xml:space="preserve">werfcondities – orde en netheid </v>
      </c>
      <c r="D40" s="57" t="str">
        <f>[1]!ArticleMeasureType(Art_01.31.)</f>
        <v/>
      </c>
      <c r="E40" s="57" t="str">
        <f>[1]!ArticleMeasureUnit(Art_01.31.)</f>
        <v>PM</v>
      </c>
      <c r="F40" s="75" t="str">
        <f>[1]!ArticleQuantity(Art_01.31.)</f>
        <v/>
      </c>
      <c r="G40" s="57"/>
      <c r="H40" s="59"/>
      <c r="I40" s="59">
        <f>IF(RIGHT($D40,1)="-","************",ROUND(IF(NOT(ISNUMBER(G40)),IF(NOT(ISNUMBER(F40)),1,F40),G40)*H40,2))</f>
        <v>0</v>
      </c>
      <c r="J40" s="60"/>
      <c r="K40" s="61"/>
      <c r="L40" s="62"/>
      <c r="M40" s="57"/>
      <c r="N40" s="63"/>
      <c r="O40" s="59">
        <f t="shared" si="0"/>
        <v>0</v>
      </c>
      <c r="P40" s="64" t="str">
        <f t="shared" si="1"/>
        <v/>
      </c>
      <c r="Q40" s="65" t="str">
        <f t="shared" si="2"/>
        <v/>
      </c>
      <c r="R40" s="62"/>
      <c r="S40" s="57"/>
      <c r="T40" s="63"/>
      <c r="U40" s="59">
        <f t="shared" si="3"/>
        <v>0</v>
      </c>
      <c r="V40" s="64" t="str">
        <f t="shared" si="4"/>
        <v/>
      </c>
      <c r="W40" s="65" t="str">
        <f t="shared" si="5"/>
        <v/>
      </c>
      <c r="X40" s="62"/>
      <c r="Y40" s="57"/>
      <c r="Z40" s="63"/>
      <c r="AA40" s="59">
        <f t="shared" si="6"/>
        <v>0</v>
      </c>
      <c r="AB40" s="64" t="str">
        <f t="shared" si="7"/>
        <v/>
      </c>
      <c r="AC40" s="65" t="str">
        <f t="shared" si="8"/>
        <v/>
      </c>
    </row>
    <row r="41" spans="1:29" ht="15" customHeight="1">
      <c r="A41" s="2">
        <f>A40+1</f>
        <v>13</v>
      </c>
      <c r="B41" s="67" t="str">
        <f>[1]!ArticleCode(Art_01.32.)</f>
        <v>01.32.</v>
      </c>
      <c r="C41" s="68" t="str">
        <f>[1]!ArticleDescription(Art_01.32.)</f>
        <v xml:space="preserve">werfcondities – geluids- en stofhinder </v>
      </c>
      <c r="D41" s="57" t="str">
        <f>[1]!ArticleMeasureType(Art_01.32.)</f>
        <v/>
      </c>
      <c r="E41" s="57" t="str">
        <f>[1]!ArticleMeasureUnit(Art_01.32.)</f>
        <v>PM</v>
      </c>
      <c r="F41" s="75" t="str">
        <f>[1]!ArticleQuantity(Art_01.32.)</f>
        <v/>
      </c>
      <c r="G41" s="57"/>
      <c r="H41" s="59"/>
      <c r="I41" s="59">
        <f>IF(RIGHT($D41,1)="-","************",ROUND(IF(NOT(ISNUMBER(G41)),IF(NOT(ISNUMBER(F41)),1,F41),G41)*H41,2))</f>
        <v>0</v>
      </c>
      <c r="J41" s="60"/>
      <c r="K41" s="61"/>
      <c r="L41" s="62"/>
      <c r="M41" s="57"/>
      <c r="N41" s="63"/>
      <c r="O41" s="59">
        <f t="shared" ref="O41:O72" si="11">IF(MID($D41,3,1)="-","*********",ROUND(IF(NOT(ISNUMBER($G41)),IF(NOT(ISNUMBER($F41)),1,$F41),$G41)*(IF(NOT(ISNUMBER(N41)),L41,N41)),2))</f>
        <v>0</v>
      </c>
      <c r="P41" s="64" t="str">
        <f t="shared" ref="P41:P72" si="12">IF(O$164=0,"",O41/O$164)</f>
        <v/>
      </c>
      <c r="Q41" s="65" t="str">
        <f t="shared" ref="Q41:Q72" si="13">IF($K41=0,"",IF(NOT(ISNUMBER(N41)),L41,N41)/$K41-1)</f>
        <v/>
      </c>
      <c r="R41" s="62"/>
      <c r="S41" s="57"/>
      <c r="T41" s="63"/>
      <c r="U41" s="59">
        <f t="shared" ref="U41:U72" si="14">IF(MID($D41,3,1)="-","*********",ROUND(IF(NOT(ISNUMBER($G41)),IF(NOT(ISNUMBER($F41)),1,$F41),$G41)*(IF(NOT(ISNUMBER(T41)),R41,T41)),2))</f>
        <v>0</v>
      </c>
      <c r="V41" s="64" t="str">
        <f t="shared" ref="V41:V72" si="15">IF(U$164=0,"",U41/U$164)</f>
        <v/>
      </c>
      <c r="W41" s="65" t="str">
        <f t="shared" ref="W41:W72" si="16">IF($K41=0,"",IF(NOT(ISNUMBER(T41)),R41,T41)/$K41-1)</f>
        <v/>
      </c>
      <c r="X41" s="62"/>
      <c r="Y41" s="57"/>
      <c r="Z41" s="63"/>
      <c r="AA41" s="59">
        <f t="shared" ref="AA41:AA72" si="17">IF(MID($D41,3,1)="-","*********",ROUND(IF(NOT(ISNUMBER($G41)),IF(NOT(ISNUMBER($F41)),1,$F41),$G41)*(IF(NOT(ISNUMBER(Z41)),X41,Z41)),2))</f>
        <v>0</v>
      </c>
      <c r="AB41" s="64" t="str">
        <f t="shared" ref="AB41:AB72" si="18">IF(AA$164=0,"",AA41/AA$164)</f>
        <v/>
      </c>
      <c r="AC41" s="65" t="str">
        <f t="shared" ref="AC41:AC72" si="19">IF($K41=0,"",IF(NOT(ISNUMBER(Z41)),X41,Z41)/$K41-1)</f>
        <v/>
      </c>
    </row>
    <row r="42" spans="1:29" ht="15" customHeight="1">
      <c r="A42" s="2">
        <f>A41+1</f>
        <v>14</v>
      </c>
      <c r="B42" s="67" t="str">
        <f>[1]!ArticleCode(Art_01.33.)</f>
        <v>01.33.</v>
      </c>
      <c r="C42" s="68" t="str">
        <f>[1]!ArticleDescription(Art_01.33.)</f>
        <v xml:space="preserve">werfcondities – nazorg </v>
      </c>
      <c r="D42" s="57" t="str">
        <f>[1]!ArticleMeasureType(Art_01.33.)</f>
        <v/>
      </c>
      <c r="E42" s="57" t="str">
        <f>[1]!ArticleMeasureUnit(Art_01.33.)</f>
        <v>PM</v>
      </c>
      <c r="F42" s="75" t="str">
        <f>[1]!ArticleQuantity(Art_01.33.)</f>
        <v/>
      </c>
      <c r="G42" s="57"/>
      <c r="H42" s="59"/>
      <c r="I42" s="59">
        <f>IF(RIGHT($D42,1)="-","************",ROUND(IF(NOT(ISNUMBER(G42)),IF(NOT(ISNUMBER(F42)),1,F42),G42)*H42,2))</f>
        <v>0</v>
      </c>
      <c r="J42" s="60"/>
      <c r="K42" s="61"/>
      <c r="L42" s="62"/>
      <c r="M42" s="57"/>
      <c r="N42" s="63"/>
      <c r="O42" s="59">
        <f t="shared" si="11"/>
        <v>0</v>
      </c>
      <c r="P42" s="64" t="str">
        <f t="shared" si="12"/>
        <v/>
      </c>
      <c r="Q42" s="65" t="str">
        <f t="shared" si="13"/>
        <v/>
      </c>
      <c r="R42" s="62"/>
      <c r="S42" s="57"/>
      <c r="T42" s="63"/>
      <c r="U42" s="59">
        <f t="shared" si="14"/>
        <v>0</v>
      </c>
      <c r="V42" s="64" t="str">
        <f t="shared" si="15"/>
        <v/>
      </c>
      <c r="W42" s="65" t="str">
        <f t="shared" si="16"/>
        <v/>
      </c>
      <c r="X42" s="62"/>
      <c r="Y42" s="57"/>
      <c r="Z42" s="63"/>
      <c r="AA42" s="59">
        <f t="shared" si="17"/>
        <v>0</v>
      </c>
      <c r="AB42" s="64" t="str">
        <f t="shared" si="18"/>
        <v/>
      </c>
      <c r="AC42" s="65" t="str">
        <f t="shared" si="19"/>
        <v/>
      </c>
    </row>
    <row r="43" spans="1:29" ht="15" customHeight="1">
      <c r="A43" s="2">
        <f>A42+1</f>
        <v>15</v>
      </c>
      <c r="B43" s="67" t="str">
        <f>[1]!ArticleCode(Art_01.40.)</f>
        <v>01.40.</v>
      </c>
      <c r="C43" s="68" t="str">
        <f>[1]!ArticleDescription(Art_01.40.)</f>
        <v xml:space="preserve">veiligheidsvoorschriften – algemeen </v>
      </c>
      <c r="D43" s="57" t="str">
        <f>[1]!ArticleMeasureType(Art_01.40.)</f>
        <v/>
      </c>
      <c r="E43" s="57" t="str">
        <f>[1]!ArticleMeasureUnit(Art_01.40.)</f>
        <v>PM</v>
      </c>
      <c r="F43" s="75" t="str">
        <f>[1]!ArticleQuantity(Art_01.40.)</f>
        <v/>
      </c>
      <c r="G43" s="57"/>
      <c r="H43" s="59"/>
      <c r="I43" s="59">
        <f>IF(RIGHT($D43,1)="-","************",ROUND(IF(NOT(ISNUMBER(G43)),IF(NOT(ISNUMBER(F43)),1,F43),G43)*H43,2))</f>
        <v>0</v>
      </c>
      <c r="J43" s="60"/>
      <c r="K43" s="61"/>
      <c r="L43" s="62"/>
      <c r="M43" s="57"/>
      <c r="N43" s="63"/>
      <c r="O43" s="59">
        <f t="shared" si="11"/>
        <v>0</v>
      </c>
      <c r="P43" s="64" t="str">
        <f t="shared" si="12"/>
        <v/>
      </c>
      <c r="Q43" s="65" t="str">
        <f t="shared" si="13"/>
        <v/>
      </c>
      <c r="R43" s="62"/>
      <c r="S43" s="57"/>
      <c r="T43" s="63"/>
      <c r="U43" s="59">
        <f t="shared" si="14"/>
        <v>0</v>
      </c>
      <c r="V43" s="64" t="str">
        <f t="shared" si="15"/>
        <v/>
      </c>
      <c r="W43" s="65" t="str">
        <f t="shared" si="16"/>
        <v/>
      </c>
      <c r="X43" s="62"/>
      <c r="Y43" s="57"/>
      <c r="Z43" s="63"/>
      <c r="AA43" s="59">
        <f t="shared" si="17"/>
        <v>0</v>
      </c>
      <c r="AB43" s="64" t="str">
        <f t="shared" si="18"/>
        <v/>
      </c>
      <c r="AC43" s="65" t="str">
        <f t="shared" si="19"/>
        <v/>
      </c>
    </row>
    <row r="44" spans="1:29" ht="15" customHeight="1">
      <c r="A44" s="2"/>
      <c r="B44" s="69"/>
      <c r="C44" s="70"/>
      <c r="D44" s="71"/>
      <c r="E44" s="70"/>
      <c r="F44" s="70"/>
      <c r="G44" s="70"/>
      <c r="H44" s="72"/>
      <c r="I44" s="72"/>
      <c r="J44" s="73">
        <f>SUBTOTAL(9,I25:I43)</f>
        <v>0</v>
      </c>
      <c r="K44" s="61"/>
      <c r="L44" s="62"/>
      <c r="M44" s="57"/>
      <c r="N44" s="63"/>
      <c r="O44" s="59">
        <f t="shared" si="11"/>
        <v>0</v>
      </c>
      <c r="P44" s="64" t="str">
        <f t="shared" si="12"/>
        <v/>
      </c>
      <c r="Q44" s="65" t="str">
        <f t="shared" si="13"/>
        <v/>
      </c>
      <c r="R44" s="62"/>
      <c r="S44" s="57"/>
      <c r="T44" s="63"/>
      <c r="U44" s="59">
        <f t="shared" si="14"/>
        <v>0</v>
      </c>
      <c r="V44" s="64" t="str">
        <f t="shared" si="15"/>
        <v/>
      </c>
      <c r="W44" s="65" t="str">
        <f t="shared" si="16"/>
        <v/>
      </c>
      <c r="X44" s="62"/>
      <c r="Y44" s="57"/>
      <c r="Z44" s="63"/>
      <c r="AA44" s="59">
        <f t="shared" si="17"/>
        <v>0</v>
      </c>
      <c r="AB44" s="64" t="str">
        <f t="shared" si="18"/>
        <v/>
      </c>
      <c r="AC44" s="65" t="str">
        <f t="shared" si="19"/>
        <v/>
      </c>
    </row>
    <row r="45" spans="1:29" ht="15" customHeight="1">
      <c r="A45" s="2"/>
      <c r="B45" s="74"/>
      <c r="C45" s="57"/>
      <c r="D45" s="57"/>
      <c r="E45" s="57"/>
      <c r="F45" s="57"/>
      <c r="G45" s="57"/>
      <c r="H45" s="59"/>
      <c r="I45" s="59"/>
      <c r="J45" s="60"/>
      <c r="K45" s="61"/>
      <c r="L45" s="62"/>
      <c r="M45" s="57"/>
      <c r="N45" s="63"/>
      <c r="O45" s="59">
        <f t="shared" si="11"/>
        <v>0</v>
      </c>
      <c r="P45" s="64" t="str">
        <f t="shared" si="12"/>
        <v/>
      </c>
      <c r="Q45" s="65" t="str">
        <f t="shared" si="13"/>
        <v/>
      </c>
      <c r="R45" s="62"/>
      <c r="S45" s="57"/>
      <c r="T45" s="63"/>
      <c r="U45" s="59">
        <f t="shared" si="14"/>
        <v>0</v>
      </c>
      <c r="V45" s="64" t="str">
        <f t="shared" si="15"/>
        <v/>
      </c>
      <c r="W45" s="65" t="str">
        <f t="shared" si="16"/>
        <v/>
      </c>
      <c r="X45" s="62"/>
      <c r="Y45" s="57"/>
      <c r="Z45" s="63"/>
      <c r="AA45" s="59">
        <f t="shared" si="17"/>
        <v>0</v>
      </c>
      <c r="AB45" s="64" t="str">
        <f t="shared" si="18"/>
        <v/>
      </c>
      <c r="AC45" s="65" t="str">
        <f t="shared" si="19"/>
        <v/>
      </c>
    </row>
    <row r="46" spans="1:29" ht="15" customHeight="1">
      <c r="A46" s="2"/>
      <c r="B46" s="56" t="s">
        <v>308</v>
      </c>
      <c r="C46" s="57"/>
      <c r="D46" s="58"/>
      <c r="E46" s="57"/>
      <c r="F46" s="57"/>
      <c r="G46" s="57"/>
      <c r="H46" s="59"/>
      <c r="I46" s="59"/>
      <c r="J46" s="60"/>
      <c r="K46" s="61"/>
      <c r="L46" s="62"/>
      <c r="M46" s="57"/>
      <c r="N46" s="63"/>
      <c r="O46" s="59">
        <f t="shared" si="11"/>
        <v>0</v>
      </c>
      <c r="P46" s="64" t="str">
        <f t="shared" si="12"/>
        <v/>
      </c>
      <c r="Q46" s="65" t="str">
        <f t="shared" si="13"/>
        <v/>
      </c>
      <c r="R46" s="62"/>
      <c r="S46" s="57"/>
      <c r="T46" s="63"/>
      <c r="U46" s="59">
        <f t="shared" si="14"/>
        <v>0</v>
      </c>
      <c r="V46" s="64" t="str">
        <f t="shared" si="15"/>
        <v/>
      </c>
      <c r="W46" s="65" t="str">
        <f t="shared" si="16"/>
        <v/>
      </c>
      <c r="X46" s="62"/>
      <c r="Y46" s="57"/>
      <c r="Z46" s="63"/>
      <c r="AA46" s="59">
        <f t="shared" si="17"/>
        <v>0</v>
      </c>
      <c r="AB46" s="64" t="str">
        <f t="shared" si="18"/>
        <v/>
      </c>
      <c r="AC46" s="65" t="str">
        <f t="shared" si="19"/>
        <v/>
      </c>
    </row>
    <row r="47" spans="1:29" ht="15" customHeight="1">
      <c r="A47" s="2"/>
      <c r="B47" s="67" t="str">
        <f>[1]!ArticleCode(Art_02.)</f>
        <v>02.</v>
      </c>
      <c r="C47" s="68" t="str">
        <f>[1]!ArticleDescription(Art_02.)</f>
        <v>BOUWPLAATSVOORZIENINGEN</v>
      </c>
      <c r="D47" s="57"/>
      <c r="E47" s="57"/>
      <c r="F47" s="57"/>
      <c r="G47" s="57"/>
      <c r="H47" s="59"/>
      <c r="I47" s="59"/>
      <c r="J47" s="60"/>
      <c r="K47" s="61"/>
      <c r="L47" s="62"/>
      <c r="M47" s="57"/>
      <c r="N47" s="63"/>
      <c r="O47" s="59">
        <f t="shared" si="11"/>
        <v>0</v>
      </c>
      <c r="P47" s="64" t="str">
        <f t="shared" si="12"/>
        <v/>
      </c>
      <c r="Q47" s="65" t="str">
        <f t="shared" si="13"/>
        <v/>
      </c>
      <c r="R47" s="62"/>
      <c r="S47" s="57"/>
      <c r="T47" s="63"/>
      <c r="U47" s="59">
        <f t="shared" si="14"/>
        <v>0</v>
      </c>
      <c r="V47" s="64" t="str">
        <f t="shared" si="15"/>
        <v/>
      </c>
      <c r="W47" s="65" t="str">
        <f t="shared" si="16"/>
        <v/>
      </c>
      <c r="X47" s="62"/>
      <c r="Y47" s="57"/>
      <c r="Z47" s="63"/>
      <c r="AA47" s="59">
        <f t="shared" si="17"/>
        <v>0</v>
      </c>
      <c r="AB47" s="64" t="str">
        <f t="shared" si="18"/>
        <v/>
      </c>
      <c r="AC47" s="65" t="str">
        <f t="shared" si="19"/>
        <v/>
      </c>
    </row>
    <row r="48" spans="1:29" ht="15" customHeight="1">
      <c r="A48" s="2"/>
      <c r="B48" s="67" t="str">
        <f>[1]!ArticleCode(Art_02.00.)</f>
        <v>02.00.</v>
      </c>
      <c r="C48" s="68" t="str">
        <f>[1]!ArticleDescription(Art_02.00.)</f>
        <v>bouwplaatsvoorzieningen - algemeen</v>
      </c>
      <c r="D48" s="57"/>
      <c r="E48" s="57"/>
      <c r="F48" s="57"/>
      <c r="G48" s="57"/>
      <c r="H48" s="59"/>
      <c r="I48" s="59"/>
      <c r="J48" s="60"/>
      <c r="K48" s="61"/>
      <c r="L48" s="62"/>
      <c r="M48" s="57"/>
      <c r="N48" s="63"/>
      <c r="O48" s="59">
        <f t="shared" si="11"/>
        <v>0</v>
      </c>
      <c r="P48" s="64" t="str">
        <f t="shared" si="12"/>
        <v/>
      </c>
      <c r="Q48" s="65" t="str">
        <f t="shared" si="13"/>
        <v/>
      </c>
      <c r="R48" s="62"/>
      <c r="S48" s="57"/>
      <c r="T48" s="63"/>
      <c r="U48" s="59">
        <f t="shared" si="14"/>
        <v>0</v>
      </c>
      <c r="V48" s="64" t="str">
        <f t="shared" si="15"/>
        <v/>
      </c>
      <c r="W48" s="65" t="str">
        <f t="shared" si="16"/>
        <v/>
      </c>
      <c r="X48" s="62"/>
      <c r="Y48" s="57"/>
      <c r="Z48" s="63"/>
      <c r="AA48" s="59">
        <f t="shared" si="17"/>
        <v>0</v>
      </c>
      <c r="AB48" s="64" t="str">
        <f t="shared" si="18"/>
        <v/>
      </c>
      <c r="AC48" s="65" t="str">
        <f t="shared" si="19"/>
        <v/>
      </c>
    </row>
    <row r="49" spans="1:29" ht="15" customHeight="1">
      <c r="A49" s="2"/>
      <c r="B49" s="67" t="str">
        <f>[1]!ArticleCode(Art_02.80.)</f>
        <v>02.80.</v>
      </c>
      <c r="C49" s="68" t="str">
        <f>[1]!ArticleDescription(Art_02.80.)</f>
        <v>arbeidsmiddelen – algemeen</v>
      </c>
      <c r="D49" s="57"/>
      <c r="E49" s="57"/>
      <c r="F49" s="57"/>
      <c r="G49" s="57"/>
      <c r="H49" s="59"/>
      <c r="I49" s="59"/>
      <c r="J49" s="60"/>
      <c r="K49" s="61"/>
      <c r="L49" s="62"/>
      <c r="M49" s="57"/>
      <c r="N49" s="63"/>
      <c r="O49" s="59">
        <f t="shared" si="11"/>
        <v>0</v>
      </c>
      <c r="P49" s="64" t="str">
        <f t="shared" si="12"/>
        <v/>
      </c>
      <c r="Q49" s="65" t="str">
        <f t="shared" si="13"/>
        <v/>
      </c>
      <c r="R49" s="62"/>
      <c r="S49" s="57"/>
      <c r="T49" s="63"/>
      <c r="U49" s="59">
        <f t="shared" si="14"/>
        <v>0</v>
      </c>
      <c r="V49" s="64" t="str">
        <f t="shared" si="15"/>
        <v/>
      </c>
      <c r="W49" s="65" t="str">
        <f t="shared" si="16"/>
        <v/>
      </c>
      <c r="X49" s="62"/>
      <c r="Y49" s="57"/>
      <c r="Z49" s="63"/>
      <c r="AA49" s="59">
        <f t="shared" si="17"/>
        <v>0</v>
      </c>
      <c r="AB49" s="64" t="str">
        <f t="shared" si="18"/>
        <v/>
      </c>
      <c r="AC49" s="65" t="str">
        <f t="shared" si="19"/>
        <v/>
      </c>
    </row>
    <row r="50" spans="1:29" ht="15" customHeight="1">
      <c r="A50" s="2"/>
      <c r="B50" s="67" t="str">
        <f>[1]!ArticleCode(Art_02.81.)</f>
        <v>02.81.</v>
      </c>
      <c r="C50" s="68" t="str">
        <f>[1]!ArticleDescription(Art_02.81.)</f>
        <v>arbeidsmiddelen – werken op hoogte</v>
      </c>
      <c r="D50" s="57"/>
      <c r="E50" s="57"/>
      <c r="F50" s="57"/>
      <c r="G50" s="57"/>
      <c r="H50" s="59"/>
      <c r="I50" s="59"/>
      <c r="J50" s="60"/>
      <c r="K50" s="61"/>
      <c r="L50" s="62"/>
      <c r="M50" s="57"/>
      <c r="N50" s="63"/>
      <c r="O50" s="59">
        <f t="shared" si="11"/>
        <v>0</v>
      </c>
      <c r="P50" s="64" t="str">
        <f t="shared" si="12"/>
        <v/>
      </c>
      <c r="Q50" s="65" t="str">
        <f t="shared" si="13"/>
        <v/>
      </c>
      <c r="R50" s="62"/>
      <c r="S50" s="57"/>
      <c r="T50" s="63"/>
      <c r="U50" s="59">
        <f t="shared" si="14"/>
        <v>0</v>
      </c>
      <c r="V50" s="64" t="str">
        <f t="shared" si="15"/>
        <v/>
      </c>
      <c r="W50" s="65" t="str">
        <f t="shared" si="16"/>
        <v/>
      </c>
      <c r="X50" s="62"/>
      <c r="Y50" s="57"/>
      <c r="Z50" s="63"/>
      <c r="AA50" s="59">
        <f t="shared" si="17"/>
        <v>0</v>
      </c>
      <c r="AB50" s="64" t="str">
        <f t="shared" si="18"/>
        <v/>
      </c>
      <c r="AC50" s="65" t="str">
        <f t="shared" si="19"/>
        <v/>
      </c>
    </row>
    <row r="51" spans="1:29" ht="15" customHeight="1">
      <c r="A51" s="2">
        <f>A43+1</f>
        <v>16</v>
      </c>
      <c r="B51" s="67" t="str">
        <f>[1]!ArticleCode(Art_02.81.10.)</f>
        <v>02.81.10.</v>
      </c>
      <c r="C51" s="68" t="str">
        <f>[1]!ArticleDescription(Art_02.81.10.)</f>
        <v>arbeidsmiddelen – werken op hoogte/ladders</v>
      </c>
      <c r="D51" s="57" t="str">
        <f>[1]!ArticleMeasureType(Art_02.81.10.)</f>
        <v/>
      </c>
      <c r="E51" s="57" t="str">
        <f>[1]!ArticleMeasureUnit(Art_02.81.10.)</f>
        <v>PM</v>
      </c>
      <c r="F51" s="75" t="str">
        <f>[1]!ArticleQuantity(Art_02.81.10.)</f>
        <v/>
      </c>
      <c r="G51" s="57"/>
      <c r="H51" s="59"/>
      <c r="I51" s="59">
        <f>IF(RIGHT($D51,1)="-","************",ROUND(IF(NOT(ISNUMBER(G51)),IF(NOT(ISNUMBER(F51)),1,F51),G51)*H51,2))</f>
        <v>0</v>
      </c>
      <c r="J51" s="60"/>
      <c r="K51" s="61"/>
      <c r="L51" s="62"/>
      <c r="M51" s="57"/>
      <c r="N51" s="63"/>
      <c r="O51" s="59">
        <f t="shared" si="11"/>
        <v>0</v>
      </c>
      <c r="P51" s="64" t="str">
        <f t="shared" si="12"/>
        <v/>
      </c>
      <c r="Q51" s="65" t="str">
        <f t="shared" si="13"/>
        <v/>
      </c>
      <c r="R51" s="62"/>
      <c r="S51" s="57"/>
      <c r="T51" s="63"/>
      <c r="U51" s="59">
        <f t="shared" si="14"/>
        <v>0</v>
      </c>
      <c r="V51" s="64" t="str">
        <f t="shared" si="15"/>
        <v/>
      </c>
      <c r="W51" s="65" t="str">
        <f t="shared" si="16"/>
        <v/>
      </c>
      <c r="X51" s="62"/>
      <c r="Y51" s="57"/>
      <c r="Z51" s="63"/>
      <c r="AA51" s="59">
        <f t="shared" si="17"/>
        <v>0</v>
      </c>
      <c r="AB51" s="64" t="str">
        <f t="shared" si="18"/>
        <v/>
      </c>
      <c r="AC51" s="65" t="str">
        <f t="shared" si="19"/>
        <v/>
      </c>
    </row>
    <row r="52" spans="1:29" ht="15" customHeight="1">
      <c r="A52" s="2"/>
      <c r="B52" s="69"/>
      <c r="C52" s="70"/>
      <c r="D52" s="71"/>
      <c r="E52" s="70"/>
      <c r="F52" s="70"/>
      <c r="G52" s="70"/>
      <c r="H52" s="72"/>
      <c r="I52" s="72"/>
      <c r="J52" s="73">
        <f>SUBTOTAL(9,I47:I51)</f>
        <v>0</v>
      </c>
      <c r="K52" s="61"/>
      <c r="L52" s="62"/>
      <c r="M52" s="57"/>
      <c r="N52" s="63"/>
      <c r="O52" s="59">
        <f t="shared" si="11"/>
        <v>0</v>
      </c>
      <c r="P52" s="64" t="str">
        <f t="shared" si="12"/>
        <v/>
      </c>
      <c r="Q52" s="65" t="str">
        <f t="shared" si="13"/>
        <v/>
      </c>
      <c r="R52" s="62"/>
      <c r="S52" s="57"/>
      <c r="T52" s="63"/>
      <c r="U52" s="59">
        <f t="shared" si="14"/>
        <v>0</v>
      </c>
      <c r="V52" s="64" t="str">
        <f t="shared" si="15"/>
        <v/>
      </c>
      <c r="W52" s="65" t="str">
        <f t="shared" si="16"/>
        <v/>
      </c>
      <c r="X52" s="62"/>
      <c r="Y52" s="57"/>
      <c r="Z52" s="63"/>
      <c r="AA52" s="59">
        <f t="shared" si="17"/>
        <v>0</v>
      </c>
      <c r="AB52" s="64" t="str">
        <f t="shared" si="18"/>
        <v/>
      </c>
      <c r="AC52" s="65" t="str">
        <f t="shared" si="19"/>
        <v/>
      </c>
    </row>
    <row r="53" spans="1:29" ht="15" customHeight="1">
      <c r="A53" s="2"/>
      <c r="B53" s="74"/>
      <c r="C53" s="57"/>
      <c r="D53" s="57"/>
      <c r="E53" s="57"/>
      <c r="F53" s="57"/>
      <c r="G53" s="57"/>
      <c r="H53" s="59"/>
      <c r="I53" s="59"/>
      <c r="J53" s="60"/>
      <c r="K53" s="61"/>
      <c r="L53" s="62"/>
      <c r="M53" s="57"/>
      <c r="N53" s="63"/>
      <c r="O53" s="59">
        <f t="shared" si="11"/>
        <v>0</v>
      </c>
      <c r="P53" s="64" t="str">
        <f t="shared" si="12"/>
        <v/>
      </c>
      <c r="Q53" s="65" t="str">
        <f t="shared" si="13"/>
        <v/>
      </c>
      <c r="R53" s="62"/>
      <c r="S53" s="57"/>
      <c r="T53" s="63"/>
      <c r="U53" s="59">
        <f t="shared" si="14"/>
        <v>0</v>
      </c>
      <c r="V53" s="64" t="str">
        <f t="shared" si="15"/>
        <v/>
      </c>
      <c r="W53" s="65" t="str">
        <f t="shared" si="16"/>
        <v/>
      </c>
      <c r="X53" s="62"/>
      <c r="Y53" s="57"/>
      <c r="Z53" s="63"/>
      <c r="AA53" s="59">
        <f t="shared" si="17"/>
        <v>0</v>
      </c>
      <c r="AB53" s="64" t="str">
        <f t="shared" si="18"/>
        <v/>
      </c>
      <c r="AC53" s="65" t="str">
        <f t="shared" si="19"/>
        <v/>
      </c>
    </row>
    <row r="54" spans="1:29" ht="15" customHeight="1">
      <c r="A54" s="2"/>
      <c r="B54" s="56" t="s">
        <v>309</v>
      </c>
      <c r="C54" s="57"/>
      <c r="D54" s="58"/>
      <c r="E54" s="57"/>
      <c r="F54" s="57"/>
      <c r="G54" s="57"/>
      <c r="H54" s="59"/>
      <c r="I54" s="59"/>
      <c r="J54" s="60"/>
      <c r="K54" s="61"/>
      <c r="L54" s="62"/>
      <c r="M54" s="57"/>
      <c r="N54" s="63"/>
      <c r="O54" s="59">
        <f t="shared" si="11"/>
        <v>0</v>
      </c>
      <c r="P54" s="64" t="str">
        <f t="shared" si="12"/>
        <v/>
      </c>
      <c r="Q54" s="65" t="str">
        <f t="shared" si="13"/>
        <v/>
      </c>
      <c r="R54" s="62"/>
      <c r="S54" s="57"/>
      <c r="T54" s="63"/>
      <c r="U54" s="59">
        <f t="shared" si="14"/>
        <v>0</v>
      </c>
      <c r="V54" s="64" t="str">
        <f t="shared" si="15"/>
        <v/>
      </c>
      <c r="W54" s="65" t="str">
        <f t="shared" si="16"/>
        <v/>
      </c>
      <c r="X54" s="62"/>
      <c r="Y54" s="57"/>
      <c r="Z54" s="63"/>
      <c r="AA54" s="59">
        <f t="shared" si="17"/>
        <v>0</v>
      </c>
      <c r="AB54" s="64" t="str">
        <f t="shared" si="18"/>
        <v/>
      </c>
      <c r="AC54" s="65" t="str">
        <f t="shared" si="19"/>
        <v/>
      </c>
    </row>
    <row r="55" spans="1:29" ht="15" customHeight="1">
      <c r="A55" s="2"/>
      <c r="B55" s="67" t="str">
        <f>[1]!ArticleCode(Art_04.)</f>
        <v>04.</v>
      </c>
      <c r="C55" s="68" t="str">
        <f>[1]!ArticleDescription(Art_04.)</f>
        <v>GEBOUWPRESTATIES</v>
      </c>
      <c r="D55" s="57"/>
      <c r="E55" s="57"/>
      <c r="F55" s="57"/>
      <c r="G55" s="57"/>
      <c r="H55" s="59"/>
      <c r="I55" s="59"/>
      <c r="J55" s="60"/>
      <c r="K55" s="61"/>
      <c r="L55" s="62"/>
      <c r="M55" s="57"/>
      <c r="N55" s="63"/>
      <c r="O55" s="59">
        <f t="shared" si="11"/>
        <v>0</v>
      </c>
      <c r="P55" s="64" t="str">
        <f t="shared" si="12"/>
        <v/>
      </c>
      <c r="Q55" s="65" t="str">
        <f t="shared" si="13"/>
        <v/>
      </c>
      <c r="R55" s="62"/>
      <c r="S55" s="57"/>
      <c r="T55" s="63"/>
      <c r="U55" s="59">
        <f t="shared" si="14"/>
        <v>0</v>
      </c>
      <c r="V55" s="64" t="str">
        <f t="shared" si="15"/>
        <v/>
      </c>
      <c r="W55" s="65" t="str">
        <f t="shared" si="16"/>
        <v/>
      </c>
      <c r="X55" s="62"/>
      <c r="Y55" s="57"/>
      <c r="Z55" s="63"/>
      <c r="AA55" s="59">
        <f t="shared" si="17"/>
        <v>0</v>
      </c>
      <c r="AB55" s="64" t="str">
        <f t="shared" si="18"/>
        <v/>
      </c>
      <c r="AC55" s="65" t="str">
        <f t="shared" si="19"/>
        <v/>
      </c>
    </row>
    <row r="56" spans="1:29" ht="15" customHeight="1">
      <c r="A56" s="2"/>
      <c r="B56" s="67" t="str">
        <f>[1]!ArticleCode(Art_04.00.)</f>
        <v>04.00.</v>
      </c>
      <c r="C56" s="68" t="str">
        <f>[1]!ArticleDescription(Art_04.00.)</f>
        <v>gebouwprestaties - algemeen</v>
      </c>
      <c r="D56" s="57"/>
      <c r="E56" s="57"/>
      <c r="F56" s="57"/>
      <c r="G56" s="57"/>
      <c r="H56" s="59"/>
      <c r="I56" s="59"/>
      <c r="J56" s="60"/>
      <c r="K56" s="61"/>
      <c r="L56" s="62"/>
      <c r="M56" s="57"/>
      <c r="N56" s="63"/>
      <c r="O56" s="59">
        <f t="shared" si="11"/>
        <v>0</v>
      </c>
      <c r="P56" s="64" t="str">
        <f t="shared" si="12"/>
        <v/>
      </c>
      <c r="Q56" s="65" t="str">
        <f t="shared" si="13"/>
        <v/>
      </c>
      <c r="R56" s="62"/>
      <c r="S56" s="57"/>
      <c r="T56" s="63"/>
      <c r="U56" s="59">
        <f t="shared" si="14"/>
        <v>0</v>
      </c>
      <c r="V56" s="64" t="str">
        <f t="shared" si="15"/>
        <v/>
      </c>
      <c r="W56" s="65" t="str">
        <f t="shared" si="16"/>
        <v/>
      </c>
      <c r="X56" s="62"/>
      <c r="Y56" s="57"/>
      <c r="Z56" s="63"/>
      <c r="AA56" s="59">
        <f t="shared" si="17"/>
        <v>0</v>
      </c>
      <c r="AB56" s="64" t="str">
        <f t="shared" si="18"/>
        <v/>
      </c>
      <c r="AC56" s="65" t="str">
        <f t="shared" si="19"/>
        <v/>
      </c>
    </row>
    <row r="57" spans="1:29" ht="15" customHeight="1">
      <c r="A57" s="2">
        <f>A51+1</f>
        <v>17</v>
      </c>
      <c r="B57" s="67" t="str">
        <f>[1]!ArticleCode(Art_04.10.)</f>
        <v>04.10.</v>
      </c>
      <c r="C57" s="68" t="str">
        <f>[1]!ArticleDescription(Art_04.10.)</f>
        <v xml:space="preserve">energieprestatie en binnenklimaat (EPB) – algemeen </v>
      </c>
      <c r="D57" s="57" t="str">
        <f>[1]!ArticleMeasureType(Art_04.10.)</f>
        <v/>
      </c>
      <c r="E57" s="57" t="str">
        <f>[1]!ArticleMeasureUnit(Art_04.10.)</f>
        <v>PM</v>
      </c>
      <c r="F57" s="75" t="str">
        <f>[1]!ArticleQuantity(Art_04.10.)</f>
        <v/>
      </c>
      <c r="G57" s="57"/>
      <c r="H57" s="59"/>
      <c r="I57" s="59">
        <f>IF(RIGHT($D57,1)="-","************",ROUND(IF(NOT(ISNUMBER(G57)),IF(NOT(ISNUMBER(F57)),1,F57),G57)*H57,2))</f>
        <v>0</v>
      </c>
      <c r="J57" s="60"/>
      <c r="K57" s="61"/>
      <c r="L57" s="62"/>
      <c r="M57" s="57"/>
      <c r="N57" s="63"/>
      <c r="O57" s="59">
        <f t="shared" si="11"/>
        <v>0</v>
      </c>
      <c r="P57" s="64" t="str">
        <f t="shared" si="12"/>
        <v/>
      </c>
      <c r="Q57" s="65" t="str">
        <f t="shared" si="13"/>
        <v/>
      </c>
      <c r="R57" s="62"/>
      <c r="S57" s="57"/>
      <c r="T57" s="63"/>
      <c r="U57" s="59">
        <f t="shared" si="14"/>
        <v>0</v>
      </c>
      <c r="V57" s="64" t="str">
        <f t="shared" si="15"/>
        <v/>
      </c>
      <c r="W57" s="65" t="str">
        <f t="shared" si="16"/>
        <v/>
      </c>
      <c r="X57" s="62"/>
      <c r="Y57" s="57"/>
      <c r="Z57" s="63"/>
      <c r="AA57" s="59">
        <f t="shared" si="17"/>
        <v>0</v>
      </c>
      <c r="AB57" s="64" t="str">
        <f t="shared" si="18"/>
        <v/>
      </c>
      <c r="AC57" s="65" t="str">
        <f t="shared" si="19"/>
        <v/>
      </c>
    </row>
    <row r="58" spans="1:29" ht="15" customHeight="1">
      <c r="A58" s="2">
        <f>A57+1</f>
        <v>18</v>
      </c>
      <c r="B58" s="67" t="str">
        <f>[1]!ArticleCode(Art_04.40.)</f>
        <v>04.40.</v>
      </c>
      <c r="C58" s="68" t="str">
        <f>[1]!ArticleDescription(Art_04.40.)</f>
        <v xml:space="preserve">brandveiligheid - algemeen </v>
      </c>
      <c r="D58" s="57" t="str">
        <f>[1]!ArticleMeasureType(Art_04.40.)</f>
        <v/>
      </c>
      <c r="E58" s="57" t="str">
        <f>[1]!ArticleMeasureUnit(Art_04.40.)</f>
        <v>PM</v>
      </c>
      <c r="F58" s="75" t="str">
        <f>[1]!ArticleQuantity(Art_04.40.)</f>
        <v/>
      </c>
      <c r="G58" s="57"/>
      <c r="H58" s="59"/>
      <c r="I58" s="59">
        <f>IF(RIGHT($D58,1)="-","************",ROUND(IF(NOT(ISNUMBER(G58)),IF(NOT(ISNUMBER(F58)),1,F58),G58)*H58,2))</f>
        <v>0</v>
      </c>
      <c r="J58" s="60"/>
      <c r="K58" s="61"/>
      <c r="L58" s="62"/>
      <c r="M58" s="57"/>
      <c r="N58" s="63"/>
      <c r="O58" s="59">
        <f t="shared" si="11"/>
        <v>0</v>
      </c>
      <c r="P58" s="64" t="str">
        <f t="shared" si="12"/>
        <v/>
      </c>
      <c r="Q58" s="65" t="str">
        <f t="shared" si="13"/>
        <v/>
      </c>
      <c r="R58" s="62"/>
      <c r="S58" s="57"/>
      <c r="T58" s="63"/>
      <c r="U58" s="59">
        <f t="shared" si="14"/>
        <v>0</v>
      </c>
      <c r="V58" s="64" t="str">
        <f t="shared" si="15"/>
        <v/>
      </c>
      <c r="W58" s="65" t="str">
        <f t="shared" si="16"/>
        <v/>
      </c>
      <c r="X58" s="62"/>
      <c r="Y58" s="57"/>
      <c r="Z58" s="63"/>
      <c r="AA58" s="59">
        <f t="shared" si="17"/>
        <v>0</v>
      </c>
      <c r="AB58" s="64" t="str">
        <f t="shared" si="18"/>
        <v/>
      </c>
      <c r="AC58" s="65" t="str">
        <f t="shared" si="19"/>
        <v/>
      </c>
    </row>
    <row r="59" spans="1:29" ht="15" customHeight="1">
      <c r="A59" s="2"/>
      <c r="B59" s="69"/>
      <c r="C59" s="70"/>
      <c r="D59" s="71"/>
      <c r="E59" s="70"/>
      <c r="F59" s="70"/>
      <c r="G59" s="70"/>
      <c r="H59" s="72"/>
      <c r="I59" s="72"/>
      <c r="J59" s="73">
        <f>SUBTOTAL(9,I55:I58)</f>
        <v>0</v>
      </c>
      <c r="K59" s="61"/>
      <c r="L59" s="62"/>
      <c r="M59" s="57"/>
      <c r="N59" s="63"/>
      <c r="O59" s="59">
        <f t="shared" si="11"/>
        <v>0</v>
      </c>
      <c r="P59" s="64" t="str">
        <f t="shared" si="12"/>
        <v/>
      </c>
      <c r="Q59" s="65" t="str">
        <f t="shared" si="13"/>
        <v/>
      </c>
      <c r="R59" s="62"/>
      <c r="S59" s="57"/>
      <c r="T59" s="63"/>
      <c r="U59" s="59">
        <f t="shared" si="14"/>
        <v>0</v>
      </c>
      <c r="V59" s="64" t="str">
        <f t="shared" si="15"/>
        <v/>
      </c>
      <c r="W59" s="65" t="str">
        <f t="shared" si="16"/>
        <v/>
      </c>
      <c r="X59" s="62"/>
      <c r="Y59" s="57"/>
      <c r="Z59" s="63"/>
      <c r="AA59" s="59">
        <f t="shared" si="17"/>
        <v>0</v>
      </c>
      <c r="AB59" s="64" t="str">
        <f t="shared" si="18"/>
        <v/>
      </c>
      <c r="AC59" s="65" t="str">
        <f t="shared" si="19"/>
        <v/>
      </c>
    </row>
    <row r="60" spans="1:29" ht="15" customHeight="1">
      <c r="A60" s="2"/>
      <c r="B60" s="74"/>
      <c r="C60" s="57"/>
      <c r="D60" s="57"/>
      <c r="E60" s="57"/>
      <c r="F60" s="57"/>
      <c r="G60" s="57"/>
      <c r="H60" s="59"/>
      <c r="I60" s="59"/>
      <c r="J60" s="60"/>
      <c r="K60" s="61"/>
      <c r="L60" s="62"/>
      <c r="M60" s="57"/>
      <c r="N60" s="63"/>
      <c r="O60" s="59">
        <f t="shared" si="11"/>
        <v>0</v>
      </c>
      <c r="P60" s="64" t="str">
        <f t="shared" si="12"/>
        <v/>
      </c>
      <c r="Q60" s="65" t="str">
        <f t="shared" si="13"/>
        <v/>
      </c>
      <c r="R60" s="62"/>
      <c r="S60" s="57"/>
      <c r="T60" s="63"/>
      <c r="U60" s="59">
        <f t="shared" si="14"/>
        <v>0</v>
      </c>
      <c r="V60" s="64" t="str">
        <f t="shared" si="15"/>
        <v/>
      </c>
      <c r="W60" s="65" t="str">
        <f t="shared" si="16"/>
        <v/>
      </c>
      <c r="X60" s="62"/>
      <c r="Y60" s="57"/>
      <c r="Z60" s="63"/>
      <c r="AA60" s="59">
        <f t="shared" si="17"/>
        <v>0</v>
      </c>
      <c r="AB60" s="64" t="str">
        <f t="shared" si="18"/>
        <v/>
      </c>
      <c r="AC60" s="65" t="str">
        <f t="shared" si="19"/>
        <v/>
      </c>
    </row>
    <row r="61" spans="1:29" ht="15" customHeight="1">
      <c r="A61" s="2"/>
      <c r="B61" s="56" t="s">
        <v>310</v>
      </c>
      <c r="C61" s="57"/>
      <c r="D61" s="58"/>
      <c r="E61" s="57"/>
      <c r="F61" s="57"/>
      <c r="G61" s="57"/>
      <c r="H61" s="59"/>
      <c r="I61" s="59"/>
      <c r="J61" s="60"/>
      <c r="K61" s="61"/>
      <c r="L61" s="62"/>
      <c r="M61" s="57"/>
      <c r="N61" s="63"/>
      <c r="O61" s="59">
        <f t="shared" si="11"/>
        <v>0</v>
      </c>
      <c r="P61" s="64" t="str">
        <f t="shared" si="12"/>
        <v/>
      </c>
      <c r="Q61" s="65" t="str">
        <f t="shared" si="13"/>
        <v/>
      </c>
      <c r="R61" s="62"/>
      <c r="S61" s="57"/>
      <c r="T61" s="63"/>
      <c r="U61" s="59">
        <f t="shared" si="14"/>
        <v>0</v>
      </c>
      <c r="V61" s="64" t="str">
        <f t="shared" si="15"/>
        <v/>
      </c>
      <c r="W61" s="65" t="str">
        <f t="shared" si="16"/>
        <v/>
      </c>
      <c r="X61" s="62"/>
      <c r="Y61" s="57"/>
      <c r="Z61" s="63"/>
      <c r="AA61" s="59">
        <f t="shared" si="17"/>
        <v>0</v>
      </c>
      <c r="AB61" s="64" t="str">
        <f t="shared" si="18"/>
        <v/>
      </c>
      <c r="AC61" s="65" t="str">
        <f t="shared" si="19"/>
        <v/>
      </c>
    </row>
    <row r="62" spans="1:29" ht="15" customHeight="1">
      <c r="A62" s="2"/>
      <c r="B62" s="67" t="str">
        <f>[1]!ArticleCode(Art_70.)</f>
        <v>70.</v>
      </c>
      <c r="C62" s="68" t="str">
        <f>[1]!ArticleDescription(Art_70.)</f>
        <v xml:space="preserve"> ELEKTRISCHE INSTALLATIE</v>
      </c>
      <c r="D62" s="57"/>
      <c r="E62" s="57"/>
      <c r="F62" s="57"/>
      <c r="G62" s="57"/>
      <c r="H62" s="59"/>
      <c r="I62" s="59"/>
      <c r="J62" s="60"/>
      <c r="K62" s="61"/>
      <c r="L62" s="62"/>
      <c r="M62" s="57"/>
      <c r="N62" s="63"/>
      <c r="O62" s="59">
        <f t="shared" si="11"/>
        <v>0</v>
      </c>
      <c r="P62" s="64" t="str">
        <f t="shared" si="12"/>
        <v/>
      </c>
      <c r="Q62" s="65" t="str">
        <f t="shared" si="13"/>
        <v/>
      </c>
      <c r="R62" s="62"/>
      <c r="S62" s="57"/>
      <c r="T62" s="63"/>
      <c r="U62" s="59">
        <f t="shared" si="14"/>
        <v>0</v>
      </c>
      <c r="V62" s="64" t="str">
        <f t="shared" si="15"/>
        <v/>
      </c>
      <c r="W62" s="65" t="str">
        <f t="shared" si="16"/>
        <v/>
      </c>
      <c r="X62" s="62"/>
      <c r="Y62" s="57"/>
      <c r="Z62" s="63"/>
      <c r="AA62" s="59">
        <f t="shared" si="17"/>
        <v>0</v>
      </c>
      <c r="AB62" s="64" t="str">
        <f t="shared" si="18"/>
        <v/>
      </c>
      <c r="AC62" s="65" t="str">
        <f t="shared" si="19"/>
        <v/>
      </c>
    </row>
    <row r="63" spans="1:29" ht="15" customHeight="1">
      <c r="A63" s="2"/>
      <c r="B63" s="67" t="str">
        <f>[1]!ArticleCode(Art_70.00.)</f>
        <v>70.00.</v>
      </c>
      <c r="C63" s="68" t="str">
        <f>[1]!ArticleDescription(Art_70.00.)</f>
        <v>elektriciteit binnennet - algemeen</v>
      </c>
      <c r="D63" s="57"/>
      <c r="E63" s="57"/>
      <c r="F63" s="57"/>
      <c r="G63" s="57"/>
      <c r="H63" s="59"/>
      <c r="I63" s="59"/>
      <c r="J63" s="60"/>
      <c r="K63" s="61"/>
      <c r="L63" s="62"/>
      <c r="M63" s="57"/>
      <c r="N63" s="63"/>
      <c r="O63" s="59">
        <f t="shared" si="11"/>
        <v>0</v>
      </c>
      <c r="P63" s="64" t="str">
        <f t="shared" si="12"/>
        <v/>
      </c>
      <c r="Q63" s="65" t="str">
        <f t="shared" si="13"/>
        <v/>
      </c>
      <c r="R63" s="62"/>
      <c r="S63" s="57"/>
      <c r="T63" s="63"/>
      <c r="U63" s="59">
        <f t="shared" si="14"/>
        <v>0</v>
      </c>
      <c r="V63" s="64" t="str">
        <f t="shared" si="15"/>
        <v/>
      </c>
      <c r="W63" s="65" t="str">
        <f t="shared" si="16"/>
        <v/>
      </c>
      <c r="X63" s="62"/>
      <c r="Y63" s="57"/>
      <c r="Z63" s="63"/>
      <c r="AA63" s="59">
        <f t="shared" si="17"/>
        <v>0</v>
      </c>
      <c r="AB63" s="64" t="str">
        <f t="shared" si="18"/>
        <v/>
      </c>
      <c r="AC63" s="65" t="str">
        <f t="shared" si="19"/>
        <v/>
      </c>
    </row>
    <row r="64" spans="1:29" ht="15" customHeight="1">
      <c r="A64" s="2"/>
      <c r="B64" s="67" t="str">
        <f>[1]!ArticleCode(Art_70.10.)</f>
        <v>70.10.</v>
      </c>
      <c r="C64" s="68" t="str">
        <f>[1]!ArticleDescription(Art_70.10.)</f>
        <v>aansluitingen - algemeen</v>
      </c>
      <c r="D64" s="57"/>
      <c r="E64" s="57"/>
      <c r="F64" s="57"/>
      <c r="G64" s="57"/>
      <c r="H64" s="59"/>
      <c r="I64" s="59"/>
      <c r="J64" s="60"/>
      <c r="K64" s="61"/>
      <c r="L64" s="62"/>
      <c r="M64" s="57"/>
      <c r="N64" s="63"/>
      <c r="O64" s="59">
        <f t="shared" si="11"/>
        <v>0</v>
      </c>
      <c r="P64" s="64" t="str">
        <f t="shared" si="12"/>
        <v/>
      </c>
      <c r="Q64" s="65" t="str">
        <f t="shared" si="13"/>
        <v/>
      </c>
      <c r="R64" s="62"/>
      <c r="S64" s="57"/>
      <c r="T64" s="63"/>
      <c r="U64" s="59">
        <f t="shared" si="14"/>
        <v>0</v>
      </c>
      <c r="V64" s="64" t="str">
        <f t="shared" si="15"/>
        <v/>
      </c>
      <c r="W64" s="65" t="str">
        <f t="shared" si="16"/>
        <v/>
      </c>
      <c r="X64" s="62"/>
      <c r="Y64" s="57"/>
      <c r="Z64" s="63"/>
      <c r="AA64" s="59">
        <f t="shared" si="17"/>
        <v>0</v>
      </c>
      <c r="AB64" s="64" t="str">
        <f t="shared" si="18"/>
        <v/>
      </c>
      <c r="AC64" s="65" t="str">
        <f t="shared" si="19"/>
        <v/>
      </c>
    </row>
    <row r="65" spans="1:29" ht="15" customHeight="1">
      <c r="A65" s="2">
        <f>A58+1</f>
        <v>19</v>
      </c>
      <c r="B65" s="67" t="str">
        <f>[1]!ArticleCode(Art_70.11.)</f>
        <v>70.11.</v>
      </c>
      <c r="C65" s="68" t="str">
        <f>[1]!ArticleDescription(Art_70.11.)</f>
        <v>aansluitingen – ondergrondse aansluiting (enkel levering)</v>
      </c>
      <c r="D65" s="57" t="str">
        <f>[1]!ArticleMeasureType(Art_70.11.)</f>
        <v>FH</v>
      </c>
      <c r="E65" s="57" t="str">
        <f>[1]!ArticleMeasureUnit(Art_70.11.)</f>
        <v>m</v>
      </c>
      <c r="F65" s="76">
        <f>[1]!ArticleQuantity(Art_70.11.)</f>
        <v>13</v>
      </c>
      <c r="G65" s="57"/>
      <c r="H65" s="59"/>
      <c r="I65" s="59">
        <f>IF(RIGHT($D65,1)="-","************",ROUND(IF(NOT(ISNUMBER(G65)),IF(NOT(ISNUMBER(F65)),1,F65),G65)*H65,2))</f>
        <v>0</v>
      </c>
      <c r="J65" s="60"/>
      <c r="K65" s="61"/>
      <c r="L65" s="62"/>
      <c r="M65" s="57"/>
      <c r="N65" s="63"/>
      <c r="O65" s="59">
        <f t="shared" si="11"/>
        <v>0</v>
      </c>
      <c r="P65" s="64" t="str">
        <f t="shared" si="12"/>
        <v/>
      </c>
      <c r="Q65" s="65" t="str">
        <f t="shared" si="13"/>
        <v/>
      </c>
      <c r="R65" s="62"/>
      <c r="S65" s="57"/>
      <c r="T65" s="63"/>
      <c r="U65" s="59">
        <f t="shared" si="14"/>
        <v>0</v>
      </c>
      <c r="V65" s="64" t="str">
        <f t="shared" si="15"/>
        <v/>
      </c>
      <c r="W65" s="65" t="str">
        <f t="shared" si="16"/>
        <v/>
      </c>
      <c r="X65" s="62"/>
      <c r="Y65" s="57"/>
      <c r="Z65" s="63"/>
      <c r="AA65" s="59">
        <f t="shared" si="17"/>
        <v>0</v>
      </c>
      <c r="AB65" s="64" t="str">
        <f t="shared" si="18"/>
        <v/>
      </c>
      <c r="AC65" s="65" t="str">
        <f t="shared" si="19"/>
        <v/>
      </c>
    </row>
    <row r="66" spans="1:29" ht="15" customHeight="1">
      <c r="A66" s="2">
        <f>A65+1</f>
        <v>20</v>
      </c>
      <c r="B66" s="67" t="str">
        <f>[1]!ArticleCode(Art_70.12.)</f>
        <v>70.12.</v>
      </c>
      <c r="C66" s="68" t="str">
        <f>[1]!ArticleDescription(Art_70.12.)</f>
        <v>aansluitingen – binnenbrengen kabel</v>
      </c>
      <c r="D66" s="57" t="str">
        <f>[1]!ArticleMeasureType(Art_70.12.)</f>
        <v/>
      </c>
      <c r="E66" s="57" t="str">
        <f>[1]!ArticleMeasureUnit(Art_70.12.)</f>
        <v>PM</v>
      </c>
      <c r="F66" s="75" t="str">
        <f>[1]!ArticleQuantity(Art_70.12.)</f>
        <v/>
      </c>
      <c r="G66" s="57"/>
      <c r="H66" s="59"/>
      <c r="I66" s="59">
        <f>IF(RIGHT($D66,1)="-","************",ROUND(IF(NOT(ISNUMBER(G66)),IF(NOT(ISNUMBER(F66)),1,F66),G66)*H66,2))</f>
        <v>0</v>
      </c>
      <c r="J66" s="60"/>
      <c r="K66" s="61"/>
      <c r="L66" s="62"/>
      <c r="M66" s="57"/>
      <c r="N66" s="63"/>
      <c r="O66" s="59">
        <f t="shared" si="11"/>
        <v>0</v>
      </c>
      <c r="P66" s="64" t="str">
        <f t="shared" si="12"/>
        <v/>
      </c>
      <c r="Q66" s="65" t="str">
        <f t="shared" si="13"/>
        <v/>
      </c>
      <c r="R66" s="62"/>
      <c r="S66" s="57"/>
      <c r="T66" s="63"/>
      <c r="U66" s="59">
        <f t="shared" si="14"/>
        <v>0</v>
      </c>
      <c r="V66" s="64" t="str">
        <f t="shared" si="15"/>
        <v/>
      </c>
      <c r="W66" s="65" t="str">
        <f t="shared" si="16"/>
        <v/>
      </c>
      <c r="X66" s="62"/>
      <c r="Y66" s="57"/>
      <c r="Z66" s="63"/>
      <c r="AA66" s="59">
        <f t="shared" si="17"/>
        <v>0</v>
      </c>
      <c r="AB66" s="64" t="str">
        <f t="shared" si="18"/>
        <v/>
      </c>
      <c r="AC66" s="65" t="str">
        <f t="shared" si="19"/>
        <v/>
      </c>
    </row>
    <row r="67" spans="1:29" ht="15" customHeight="1">
      <c r="A67" s="2">
        <f>A66+1</f>
        <v>21</v>
      </c>
      <c r="B67" s="67" t="str">
        <f>[1]!ArticleCode(Art_70.14.)</f>
        <v>70.14.</v>
      </c>
      <c r="C67" s="68" t="str">
        <f>[1]!ArticleDescription(Art_70.14.)</f>
        <v xml:space="preserve">aansluitingen - tellerkasten </v>
      </c>
      <c r="D67" s="57" t="str">
        <f>[1]!ArticleMeasureType(Art_70.14.)</f>
        <v>FH</v>
      </c>
      <c r="E67" s="57" t="str">
        <f>[1]!ArticleMeasureUnit(Art_70.14.)</f>
        <v>st</v>
      </c>
      <c r="F67" s="75">
        <f>[1]!ArticleQuantity(Art_70.14.)</f>
        <v>1</v>
      </c>
      <c r="G67" s="57"/>
      <c r="H67" s="59"/>
      <c r="I67" s="59">
        <f>IF(RIGHT($D67,1)="-","************",ROUND(IF(NOT(ISNUMBER(G67)),IF(NOT(ISNUMBER(F67)),1,F67),G67)*H67,2))</f>
        <v>0</v>
      </c>
      <c r="J67" s="60"/>
      <c r="K67" s="61"/>
      <c r="L67" s="62"/>
      <c r="M67" s="57"/>
      <c r="N67" s="63"/>
      <c r="O67" s="59">
        <f t="shared" si="11"/>
        <v>0</v>
      </c>
      <c r="P67" s="64" t="str">
        <f t="shared" si="12"/>
        <v/>
      </c>
      <c r="Q67" s="65" t="str">
        <f t="shared" si="13"/>
        <v/>
      </c>
      <c r="R67" s="62"/>
      <c r="S67" s="57"/>
      <c r="T67" s="63"/>
      <c r="U67" s="59">
        <f t="shared" si="14"/>
        <v>0</v>
      </c>
      <c r="V67" s="64" t="str">
        <f t="shared" si="15"/>
        <v/>
      </c>
      <c r="W67" s="65" t="str">
        <f t="shared" si="16"/>
        <v/>
      </c>
      <c r="X67" s="62"/>
      <c r="Y67" s="57"/>
      <c r="Z67" s="63"/>
      <c r="AA67" s="59">
        <f t="shared" si="17"/>
        <v>0</v>
      </c>
      <c r="AB67" s="64" t="str">
        <f t="shared" si="18"/>
        <v/>
      </c>
      <c r="AC67" s="65" t="str">
        <f t="shared" si="19"/>
        <v/>
      </c>
    </row>
    <row r="68" spans="1:29" ht="15" customHeight="1">
      <c r="A68" s="2">
        <f>A67+1</f>
        <v>22</v>
      </c>
      <c r="B68" s="67" t="str">
        <f>[1]!ArticleCode(Art_70.15.)</f>
        <v>70.15.</v>
      </c>
      <c r="C68" s="68" t="str">
        <f>[1]!ArticleDescription(Art_70.15.)</f>
        <v>aansluitingen – verbindingskabels  (enkel levering)</v>
      </c>
      <c r="D68" s="57" t="str">
        <f>[1]!ArticleMeasureType(Art_70.15.)</f>
        <v>FH</v>
      </c>
      <c r="E68" s="57" t="str">
        <f>[1]!ArticleMeasureUnit(Art_70.15.)</f>
        <v>m</v>
      </c>
      <c r="F68" s="76">
        <f>[1]!ArticleQuantity(Art_70.15.)</f>
        <v>5</v>
      </c>
      <c r="G68" s="57"/>
      <c r="H68" s="59"/>
      <c r="I68" s="59">
        <f>IF(RIGHT($D68,1)="-","************",ROUND(IF(NOT(ISNUMBER(G68)),IF(NOT(ISNUMBER(F68)),1,F68),G68)*H68,2))</f>
        <v>0</v>
      </c>
      <c r="J68" s="60"/>
      <c r="K68" s="61"/>
      <c r="L68" s="62"/>
      <c r="M68" s="57"/>
      <c r="N68" s="63"/>
      <c r="O68" s="59">
        <f t="shared" si="11"/>
        <v>0</v>
      </c>
      <c r="P68" s="64" t="str">
        <f t="shared" si="12"/>
        <v/>
      </c>
      <c r="Q68" s="65" t="str">
        <f t="shared" si="13"/>
        <v/>
      </c>
      <c r="R68" s="62"/>
      <c r="S68" s="57"/>
      <c r="T68" s="63"/>
      <c r="U68" s="59">
        <f t="shared" si="14"/>
        <v>0</v>
      </c>
      <c r="V68" s="64" t="str">
        <f t="shared" si="15"/>
        <v/>
      </c>
      <c r="W68" s="65" t="str">
        <f t="shared" si="16"/>
        <v/>
      </c>
      <c r="X68" s="62"/>
      <c r="Y68" s="57"/>
      <c r="Z68" s="63"/>
      <c r="AA68" s="59">
        <f t="shared" si="17"/>
        <v>0</v>
      </c>
      <c r="AB68" s="64" t="str">
        <f t="shared" si="18"/>
        <v/>
      </c>
      <c r="AC68" s="65" t="str">
        <f t="shared" si="19"/>
        <v/>
      </c>
    </row>
    <row r="69" spans="1:29" ht="15" customHeight="1">
      <c r="A69" s="2"/>
      <c r="B69" s="67" t="str">
        <f>[1]!ArticleCode(Art_70.20.)</f>
        <v>70.20.</v>
      </c>
      <c r="C69" s="68" t="str">
        <f>[1]!ArticleDescription(Art_70.20.)</f>
        <v>verdeelkasten - algemeen</v>
      </c>
      <c r="D69" s="57"/>
      <c r="E69" s="57"/>
      <c r="F69" s="57"/>
      <c r="G69" s="57"/>
      <c r="H69" s="59"/>
      <c r="I69" s="59"/>
      <c r="J69" s="60"/>
      <c r="K69" s="61"/>
      <c r="L69" s="62"/>
      <c r="M69" s="57"/>
      <c r="N69" s="63"/>
      <c r="O69" s="59">
        <f t="shared" si="11"/>
        <v>0</v>
      </c>
      <c r="P69" s="64" t="str">
        <f t="shared" si="12"/>
        <v/>
      </c>
      <c r="Q69" s="65" t="str">
        <f t="shared" si="13"/>
        <v/>
      </c>
      <c r="R69" s="62"/>
      <c r="S69" s="57"/>
      <c r="T69" s="63"/>
      <c r="U69" s="59">
        <f t="shared" si="14"/>
        <v>0</v>
      </c>
      <c r="V69" s="64" t="str">
        <f t="shared" si="15"/>
        <v/>
      </c>
      <c r="W69" s="65" t="str">
        <f t="shared" si="16"/>
        <v/>
      </c>
      <c r="X69" s="62"/>
      <c r="Y69" s="57"/>
      <c r="Z69" s="63"/>
      <c r="AA69" s="59">
        <f t="shared" si="17"/>
        <v>0</v>
      </c>
      <c r="AB69" s="64" t="str">
        <f t="shared" si="18"/>
        <v/>
      </c>
      <c r="AC69" s="65" t="str">
        <f t="shared" si="19"/>
        <v/>
      </c>
    </row>
    <row r="70" spans="1:29" ht="15" customHeight="1">
      <c r="A70" s="2">
        <f>A68+1</f>
        <v>23</v>
      </c>
      <c r="B70" s="67" t="str">
        <f>[1]!ArticleCode(Art_70.21.)</f>
        <v>70.21.</v>
      </c>
      <c r="C70" s="68" t="str">
        <f>[1]!ArticleDescription(Art_70.21.)</f>
        <v xml:space="preserve">verdeelkasten - hoofdverdeelborden </v>
      </c>
      <c r="D70" s="57" t="str">
        <f>[1]!ArticleMeasureType(Art_70.21.)</f>
        <v>FH</v>
      </c>
      <c r="E70" s="57" t="str">
        <f>[1]!ArticleMeasureUnit(Art_70.21.)</f>
        <v>st</v>
      </c>
      <c r="F70" s="75">
        <f>[1]!ArticleQuantity(Art_70.21.)</f>
        <v>1</v>
      </c>
      <c r="G70" s="57"/>
      <c r="H70" s="59"/>
      <c r="I70" s="59">
        <f>IF(RIGHT($D70,1)="-","************",ROUND(IF(NOT(ISNUMBER(G70)),IF(NOT(ISNUMBER(F70)),1,F70),G70)*H70,2))</f>
        <v>0</v>
      </c>
      <c r="J70" s="60"/>
      <c r="K70" s="61"/>
      <c r="L70" s="62"/>
      <c r="M70" s="57"/>
      <c r="N70" s="63"/>
      <c r="O70" s="59">
        <f t="shared" si="11"/>
        <v>0</v>
      </c>
      <c r="P70" s="64" t="str">
        <f t="shared" si="12"/>
        <v/>
      </c>
      <c r="Q70" s="65" t="str">
        <f t="shared" si="13"/>
        <v/>
      </c>
      <c r="R70" s="62"/>
      <c r="S70" s="57"/>
      <c r="T70" s="63"/>
      <c r="U70" s="59">
        <f t="shared" si="14"/>
        <v>0</v>
      </c>
      <c r="V70" s="64" t="str">
        <f t="shared" si="15"/>
        <v/>
      </c>
      <c r="W70" s="65" t="str">
        <f t="shared" si="16"/>
        <v/>
      </c>
      <c r="X70" s="62"/>
      <c r="Y70" s="57"/>
      <c r="Z70" s="63"/>
      <c r="AA70" s="59">
        <f t="shared" si="17"/>
        <v>0</v>
      </c>
      <c r="AB70" s="64" t="str">
        <f t="shared" si="18"/>
        <v/>
      </c>
      <c r="AC70" s="65" t="str">
        <f t="shared" si="19"/>
        <v/>
      </c>
    </row>
    <row r="71" spans="1:29" ht="15" customHeight="1">
      <c r="A71" s="2"/>
      <c r="B71" s="67" t="str">
        <f>[1]!ArticleCode(Art_70.30.)</f>
        <v>70.30.</v>
      </c>
      <c r="C71" s="68" t="str">
        <f>[1]!ArticleDescription(Art_70.30.)</f>
        <v>stroombeveiliging - algemeen</v>
      </c>
      <c r="D71" s="57"/>
      <c r="E71" s="57"/>
      <c r="F71" s="57"/>
      <c r="G71" s="57"/>
      <c r="H71" s="59"/>
      <c r="I71" s="59"/>
      <c r="J71" s="60"/>
      <c r="K71" s="61"/>
      <c r="L71" s="62"/>
      <c r="M71" s="57"/>
      <c r="N71" s="63"/>
      <c r="O71" s="59">
        <f t="shared" si="11"/>
        <v>0</v>
      </c>
      <c r="P71" s="64" t="str">
        <f t="shared" si="12"/>
        <v/>
      </c>
      <c r="Q71" s="65" t="str">
        <f t="shared" si="13"/>
        <v/>
      </c>
      <c r="R71" s="62"/>
      <c r="S71" s="57"/>
      <c r="T71" s="63"/>
      <c r="U71" s="59">
        <f t="shared" si="14"/>
        <v>0</v>
      </c>
      <c r="V71" s="64" t="str">
        <f t="shared" si="15"/>
        <v/>
      </c>
      <c r="W71" s="65" t="str">
        <f t="shared" si="16"/>
        <v/>
      </c>
      <c r="X71" s="62"/>
      <c r="Y71" s="57"/>
      <c r="Z71" s="63"/>
      <c r="AA71" s="59">
        <f t="shared" si="17"/>
        <v>0</v>
      </c>
      <c r="AB71" s="64" t="str">
        <f t="shared" si="18"/>
        <v/>
      </c>
      <c r="AC71" s="65" t="str">
        <f t="shared" si="19"/>
        <v/>
      </c>
    </row>
    <row r="72" spans="1:29" ht="15" customHeight="1">
      <c r="A72" s="2">
        <f>A70+1</f>
        <v>24</v>
      </c>
      <c r="B72" s="67" t="str">
        <f>[1]!ArticleCode(Art_70.31.)</f>
        <v>70.31.</v>
      </c>
      <c r="C72" s="68" t="str">
        <f>[1]!ArticleDescription(Art_70.31.)</f>
        <v xml:space="preserve">stroombeveiliging - hoofdschakelaars </v>
      </c>
      <c r="D72" s="57" t="str">
        <f>[1]!ArticleMeasureType(Art_70.31.)</f>
        <v/>
      </c>
      <c r="E72" s="57" t="str">
        <f>[1]!ArticleMeasureUnit(Art_70.31.)</f>
        <v>PM</v>
      </c>
      <c r="F72" s="75" t="str">
        <f>[1]!ArticleQuantity(Art_70.31.)</f>
        <v/>
      </c>
      <c r="G72" s="57"/>
      <c r="H72" s="59"/>
      <c r="I72" s="59">
        <f>IF(RIGHT($D72,1)="-","************",ROUND(IF(NOT(ISNUMBER(G72)),IF(NOT(ISNUMBER(F72)),1,F72),G72)*H72,2))</f>
        <v>0</v>
      </c>
      <c r="J72" s="60"/>
      <c r="K72" s="61"/>
      <c r="L72" s="62"/>
      <c r="M72" s="57"/>
      <c r="N72" s="63"/>
      <c r="O72" s="59">
        <f t="shared" si="11"/>
        <v>0</v>
      </c>
      <c r="P72" s="64" t="str">
        <f t="shared" si="12"/>
        <v/>
      </c>
      <c r="Q72" s="65" t="str">
        <f t="shared" si="13"/>
        <v/>
      </c>
      <c r="R72" s="62"/>
      <c r="S72" s="57"/>
      <c r="T72" s="63"/>
      <c r="U72" s="59">
        <f t="shared" si="14"/>
        <v>0</v>
      </c>
      <c r="V72" s="64" t="str">
        <f t="shared" si="15"/>
        <v/>
      </c>
      <c r="W72" s="65" t="str">
        <f t="shared" si="16"/>
        <v/>
      </c>
      <c r="X72" s="62"/>
      <c r="Y72" s="57"/>
      <c r="Z72" s="63"/>
      <c r="AA72" s="59">
        <f t="shared" si="17"/>
        <v>0</v>
      </c>
      <c r="AB72" s="64" t="str">
        <f t="shared" si="18"/>
        <v/>
      </c>
      <c r="AC72" s="65" t="str">
        <f t="shared" si="19"/>
        <v/>
      </c>
    </row>
    <row r="73" spans="1:29" ht="15" customHeight="1">
      <c r="A73" s="2">
        <f>A72+1</f>
        <v>25</v>
      </c>
      <c r="B73" s="67" t="str">
        <f>[1]!ArticleCode(Art_70.32.)</f>
        <v>70.32.</v>
      </c>
      <c r="C73" s="68" t="str">
        <f>[1]!ArticleDescription(Art_70.32.)</f>
        <v xml:space="preserve">stroombeveiliging - differentieelschakelaars </v>
      </c>
      <c r="D73" s="57" t="str">
        <f>[1]!ArticleMeasureType(Art_70.32.)</f>
        <v/>
      </c>
      <c r="E73" s="57" t="str">
        <f>[1]!ArticleMeasureUnit(Art_70.32.)</f>
        <v>PM</v>
      </c>
      <c r="F73" s="75" t="str">
        <f>[1]!ArticleQuantity(Art_70.32.)</f>
        <v/>
      </c>
      <c r="G73" s="57"/>
      <c r="H73" s="59"/>
      <c r="I73" s="59">
        <f>IF(RIGHT($D73,1)="-","************",ROUND(IF(NOT(ISNUMBER(G73)),IF(NOT(ISNUMBER(F73)),1,F73),G73)*H73,2))</f>
        <v>0</v>
      </c>
      <c r="J73" s="60"/>
      <c r="K73" s="61"/>
      <c r="L73" s="62"/>
      <c r="M73" s="57"/>
      <c r="N73" s="63"/>
      <c r="O73" s="59">
        <f t="shared" ref="O73:O104" si="20">IF(MID($D73,3,1)="-","*********",ROUND(IF(NOT(ISNUMBER($G73)),IF(NOT(ISNUMBER($F73)),1,$F73),$G73)*(IF(NOT(ISNUMBER(N73)),L73,N73)),2))</f>
        <v>0</v>
      </c>
      <c r="P73" s="64" t="str">
        <f t="shared" ref="P73:P104" si="21">IF(O$164=0,"",O73/O$164)</f>
        <v/>
      </c>
      <c r="Q73" s="65" t="str">
        <f t="shared" ref="Q73:Q104" si="22">IF($K73=0,"",IF(NOT(ISNUMBER(N73)),L73,N73)/$K73-1)</f>
        <v/>
      </c>
      <c r="R73" s="62"/>
      <c r="S73" s="57"/>
      <c r="T73" s="63"/>
      <c r="U73" s="59">
        <f t="shared" ref="U73:U104" si="23">IF(MID($D73,3,1)="-","*********",ROUND(IF(NOT(ISNUMBER($G73)),IF(NOT(ISNUMBER($F73)),1,$F73),$G73)*(IF(NOT(ISNUMBER(T73)),R73,T73)),2))</f>
        <v>0</v>
      </c>
      <c r="V73" s="64" t="str">
        <f t="shared" ref="V73:V104" si="24">IF(U$164=0,"",U73/U$164)</f>
        <v/>
      </c>
      <c r="W73" s="65" t="str">
        <f t="shared" ref="W73:W104" si="25">IF($K73=0,"",IF(NOT(ISNUMBER(T73)),R73,T73)/$K73-1)</f>
        <v/>
      </c>
      <c r="X73" s="62"/>
      <c r="Y73" s="57"/>
      <c r="Z73" s="63"/>
      <c r="AA73" s="59">
        <f t="shared" ref="AA73:AA104" si="26">IF(MID($D73,3,1)="-","*********",ROUND(IF(NOT(ISNUMBER($G73)),IF(NOT(ISNUMBER($F73)),1,$F73),$G73)*(IF(NOT(ISNUMBER(Z73)),X73,Z73)),2))</f>
        <v>0</v>
      </c>
      <c r="AB73" s="64" t="str">
        <f t="shared" ref="AB73:AB104" si="27">IF(AA$164=0,"",AA73/AA$164)</f>
        <v/>
      </c>
      <c r="AC73" s="65" t="str">
        <f t="shared" ref="AC73:AC104" si="28">IF($K73=0,"",IF(NOT(ISNUMBER(Z73)),X73,Z73)/$K73-1)</f>
        <v/>
      </c>
    </row>
    <row r="74" spans="1:29" ht="15" customHeight="1">
      <c r="A74" s="2">
        <f>A73+1</f>
        <v>26</v>
      </c>
      <c r="B74" s="67" t="str">
        <f>[1]!ArticleCode(Art_70.33.)</f>
        <v>70.33.</v>
      </c>
      <c r="C74" s="68" t="str">
        <f>[1]!ArticleDescription(Art_70.33.)</f>
        <v xml:space="preserve">stroombeveiliging - automatische schakelaars </v>
      </c>
      <c r="D74" s="57" t="str">
        <f>[1]!ArticleMeasureType(Art_70.33.)</f>
        <v/>
      </c>
      <c r="E74" s="57" t="str">
        <f>[1]!ArticleMeasureUnit(Art_70.33.)</f>
        <v>PM</v>
      </c>
      <c r="F74" s="75" t="str">
        <f>[1]!ArticleQuantity(Art_70.33.)</f>
        <v/>
      </c>
      <c r="G74" s="57"/>
      <c r="H74" s="59"/>
      <c r="I74" s="59">
        <f>IF(RIGHT($D74,1)="-","************",ROUND(IF(NOT(ISNUMBER(G74)),IF(NOT(ISNUMBER(F74)),1,F74),G74)*H74,2))</f>
        <v>0</v>
      </c>
      <c r="J74" s="60"/>
      <c r="K74" s="61"/>
      <c r="L74" s="62"/>
      <c r="M74" s="57"/>
      <c r="N74" s="63"/>
      <c r="O74" s="59">
        <f t="shared" si="20"/>
        <v>0</v>
      </c>
      <c r="P74" s="64" t="str">
        <f t="shared" si="21"/>
        <v/>
      </c>
      <c r="Q74" s="65" t="str">
        <f t="shared" si="22"/>
        <v/>
      </c>
      <c r="R74" s="62"/>
      <c r="S74" s="57"/>
      <c r="T74" s="63"/>
      <c r="U74" s="59">
        <f t="shared" si="23"/>
        <v>0</v>
      </c>
      <c r="V74" s="64" t="str">
        <f t="shared" si="24"/>
        <v/>
      </c>
      <c r="W74" s="65" t="str">
        <f t="shared" si="25"/>
        <v/>
      </c>
      <c r="X74" s="62"/>
      <c r="Y74" s="57"/>
      <c r="Z74" s="63"/>
      <c r="AA74" s="59">
        <f t="shared" si="26"/>
        <v>0</v>
      </c>
      <c r="AB74" s="64" t="str">
        <f t="shared" si="27"/>
        <v/>
      </c>
      <c r="AC74" s="65" t="str">
        <f t="shared" si="28"/>
        <v/>
      </c>
    </row>
    <row r="75" spans="1:29" ht="15" customHeight="1">
      <c r="A75" s="2"/>
      <c r="B75" s="67" t="str">
        <f>[1]!ArticleCode(Art_70.40.)</f>
        <v>70.40.</v>
      </c>
      <c r="C75" s="68" t="str">
        <f>[1]!ArticleDescription(Art_70.40.)</f>
        <v>aarding - algemeen</v>
      </c>
      <c r="D75" s="57"/>
      <c r="E75" s="57"/>
      <c r="F75" s="57"/>
      <c r="G75" s="57"/>
      <c r="H75" s="59"/>
      <c r="I75" s="59"/>
      <c r="J75" s="60"/>
      <c r="K75" s="61"/>
      <c r="L75" s="62"/>
      <c r="M75" s="57"/>
      <c r="N75" s="63"/>
      <c r="O75" s="59">
        <f t="shared" si="20"/>
        <v>0</v>
      </c>
      <c r="P75" s="64" t="str">
        <f t="shared" si="21"/>
        <v/>
      </c>
      <c r="Q75" s="65" t="str">
        <f t="shared" si="22"/>
        <v/>
      </c>
      <c r="R75" s="62"/>
      <c r="S75" s="57"/>
      <c r="T75" s="63"/>
      <c r="U75" s="59">
        <f t="shared" si="23"/>
        <v>0</v>
      </c>
      <c r="V75" s="64" t="str">
        <f t="shared" si="24"/>
        <v/>
      </c>
      <c r="W75" s="65" t="str">
        <f t="shared" si="25"/>
        <v/>
      </c>
      <c r="X75" s="62"/>
      <c r="Y75" s="57"/>
      <c r="Z75" s="63"/>
      <c r="AA75" s="59">
        <f t="shared" si="26"/>
        <v>0</v>
      </c>
      <c r="AB75" s="64" t="str">
        <f t="shared" si="27"/>
        <v/>
      </c>
      <c r="AC75" s="65" t="str">
        <f t="shared" si="28"/>
        <v/>
      </c>
    </row>
    <row r="76" spans="1:29" ht="15" customHeight="1">
      <c r="A76" s="2">
        <f>A74+1</f>
        <v>27</v>
      </c>
      <c r="B76" s="67" t="str">
        <f>[1]!ArticleCode(Art_70.41.)</f>
        <v>70.41.</v>
      </c>
      <c r="C76" s="68" t="str">
        <f>[1]!ArticleDescription(Art_70.41.)</f>
        <v>aarding - aardingslus</v>
      </c>
      <c r="D76" s="57" t="str">
        <f>[1]!ArticleMeasureType(Art_70.41.)</f>
        <v/>
      </c>
      <c r="E76" s="57" t="str">
        <f>[1]!ArticleMeasureUnit(Art_70.41.)</f>
        <v>PM</v>
      </c>
      <c r="F76" s="75" t="str">
        <f>[1]!ArticleQuantity(Art_70.41.)</f>
        <v/>
      </c>
      <c r="G76" s="57"/>
      <c r="H76" s="59"/>
      <c r="I76" s="59">
        <f>IF(RIGHT($D76,1)="-","************",ROUND(IF(NOT(ISNUMBER(G76)),IF(NOT(ISNUMBER(F76)),1,F76),G76)*H76,2))</f>
        <v>0</v>
      </c>
      <c r="J76" s="60"/>
      <c r="K76" s="61"/>
      <c r="L76" s="62"/>
      <c r="M76" s="57"/>
      <c r="N76" s="63"/>
      <c r="O76" s="59">
        <f t="shared" si="20"/>
        <v>0</v>
      </c>
      <c r="P76" s="64" t="str">
        <f t="shared" si="21"/>
        <v/>
      </c>
      <c r="Q76" s="65" t="str">
        <f t="shared" si="22"/>
        <v/>
      </c>
      <c r="R76" s="62"/>
      <c r="S76" s="57"/>
      <c r="T76" s="63"/>
      <c r="U76" s="59">
        <f t="shared" si="23"/>
        <v>0</v>
      </c>
      <c r="V76" s="64" t="str">
        <f t="shared" si="24"/>
        <v/>
      </c>
      <c r="W76" s="65" t="str">
        <f t="shared" si="25"/>
        <v/>
      </c>
      <c r="X76" s="62"/>
      <c r="Y76" s="57"/>
      <c r="Z76" s="63"/>
      <c r="AA76" s="59">
        <f t="shared" si="26"/>
        <v>0</v>
      </c>
      <c r="AB76" s="64" t="str">
        <f t="shared" si="27"/>
        <v/>
      </c>
      <c r="AC76" s="65" t="str">
        <f t="shared" si="28"/>
        <v/>
      </c>
    </row>
    <row r="77" spans="1:29" ht="15" customHeight="1">
      <c r="A77" s="2">
        <f>A76+1</f>
        <v>28</v>
      </c>
      <c r="B77" s="67" t="str">
        <f>[1]!ArticleCode(Art_70.43.)</f>
        <v>70.43.</v>
      </c>
      <c r="C77" s="68" t="str">
        <f>[1]!ArticleDescription(Art_70.43.)</f>
        <v xml:space="preserve">aarding - aardingsonderbrekers </v>
      </c>
      <c r="D77" s="57" t="str">
        <f>[1]!ArticleMeasureType(Art_70.43.)</f>
        <v/>
      </c>
      <c r="E77" s="57" t="str">
        <f>[1]!ArticleMeasureUnit(Art_70.43.)</f>
        <v>PM</v>
      </c>
      <c r="F77" s="75" t="str">
        <f>[1]!ArticleQuantity(Art_70.43.)</f>
        <v/>
      </c>
      <c r="G77" s="57"/>
      <c r="H77" s="59"/>
      <c r="I77" s="59">
        <f>IF(RIGHT($D77,1)="-","************",ROUND(IF(NOT(ISNUMBER(G77)),IF(NOT(ISNUMBER(F77)),1,F77),G77)*H77,2))</f>
        <v>0</v>
      </c>
      <c r="J77" s="60"/>
      <c r="K77" s="61"/>
      <c r="L77" s="62"/>
      <c r="M77" s="57"/>
      <c r="N77" s="63"/>
      <c r="O77" s="59">
        <f t="shared" si="20"/>
        <v>0</v>
      </c>
      <c r="P77" s="64" t="str">
        <f t="shared" si="21"/>
        <v/>
      </c>
      <c r="Q77" s="65" t="str">
        <f t="shared" si="22"/>
        <v/>
      </c>
      <c r="R77" s="62"/>
      <c r="S77" s="57"/>
      <c r="T77" s="63"/>
      <c r="U77" s="59">
        <f t="shared" si="23"/>
        <v>0</v>
      </c>
      <c r="V77" s="64" t="str">
        <f t="shared" si="24"/>
        <v/>
      </c>
      <c r="W77" s="65" t="str">
        <f t="shared" si="25"/>
        <v/>
      </c>
      <c r="X77" s="62"/>
      <c r="Y77" s="57"/>
      <c r="Z77" s="63"/>
      <c r="AA77" s="59">
        <f t="shared" si="26"/>
        <v>0</v>
      </c>
      <c r="AB77" s="64" t="str">
        <f t="shared" si="27"/>
        <v/>
      </c>
      <c r="AC77" s="65" t="str">
        <f t="shared" si="28"/>
        <v/>
      </c>
    </row>
    <row r="78" spans="1:29" ht="15" customHeight="1">
      <c r="A78" s="2">
        <f>A77+1</f>
        <v>29</v>
      </c>
      <c r="B78" s="67" t="str">
        <f>[1]!ArticleCode(Art_70.44.)</f>
        <v>70.44.</v>
      </c>
      <c r="C78" s="68" t="str">
        <f>[1]!ArticleDescription(Art_70.44.)</f>
        <v xml:space="preserve">aarding - hoofdbeschermingsgeleiders </v>
      </c>
      <c r="D78" s="57" t="str">
        <f>[1]!ArticleMeasureType(Art_70.44.)</f>
        <v/>
      </c>
      <c r="E78" s="57" t="str">
        <f>[1]!ArticleMeasureUnit(Art_70.44.)</f>
        <v>PM</v>
      </c>
      <c r="F78" s="75" t="str">
        <f>[1]!ArticleQuantity(Art_70.44.)</f>
        <v/>
      </c>
      <c r="G78" s="57"/>
      <c r="H78" s="59"/>
      <c r="I78" s="59">
        <f>IF(RIGHT($D78,1)="-","************",ROUND(IF(NOT(ISNUMBER(G78)),IF(NOT(ISNUMBER(F78)),1,F78),G78)*H78,2))</f>
        <v>0</v>
      </c>
      <c r="J78" s="60"/>
      <c r="K78" s="61"/>
      <c r="L78" s="62"/>
      <c r="M78" s="57"/>
      <c r="N78" s="63"/>
      <c r="O78" s="59">
        <f t="shared" si="20"/>
        <v>0</v>
      </c>
      <c r="P78" s="64" t="str">
        <f t="shared" si="21"/>
        <v/>
      </c>
      <c r="Q78" s="65" t="str">
        <f t="shared" si="22"/>
        <v/>
      </c>
      <c r="R78" s="62"/>
      <c r="S78" s="57"/>
      <c r="T78" s="63"/>
      <c r="U78" s="59">
        <f t="shared" si="23"/>
        <v>0</v>
      </c>
      <c r="V78" s="64" t="str">
        <f t="shared" si="24"/>
        <v/>
      </c>
      <c r="W78" s="65" t="str">
        <f t="shared" si="25"/>
        <v/>
      </c>
      <c r="X78" s="62"/>
      <c r="Y78" s="57"/>
      <c r="Z78" s="63"/>
      <c r="AA78" s="59">
        <f t="shared" si="26"/>
        <v>0</v>
      </c>
      <c r="AB78" s="64" t="str">
        <f t="shared" si="27"/>
        <v/>
      </c>
      <c r="AC78" s="65" t="str">
        <f t="shared" si="28"/>
        <v/>
      </c>
    </row>
    <row r="79" spans="1:29" ht="15" customHeight="1">
      <c r="A79" s="2">
        <f>A78+1</f>
        <v>30</v>
      </c>
      <c r="B79" s="67" t="str">
        <f>[1]!ArticleCode(Art_70.45.)</f>
        <v>70.45.</v>
      </c>
      <c r="C79" s="68" t="str">
        <f>[1]!ArticleDescription(Art_70.45.)</f>
        <v xml:space="preserve">aarding - hoofdequipotentiaalverbindingen </v>
      </c>
      <c r="D79" s="57" t="str">
        <f>[1]!ArticleMeasureType(Art_70.45.)</f>
        <v/>
      </c>
      <c r="E79" s="57" t="str">
        <f>[1]!ArticleMeasureUnit(Art_70.45.)</f>
        <v>PM</v>
      </c>
      <c r="F79" s="75" t="str">
        <f>[1]!ArticleQuantity(Art_70.45.)</f>
        <v/>
      </c>
      <c r="G79" s="57"/>
      <c r="H79" s="59"/>
      <c r="I79" s="59">
        <f>IF(RIGHT($D79,1)="-","************",ROUND(IF(NOT(ISNUMBER(G79)),IF(NOT(ISNUMBER(F79)),1,F79),G79)*H79,2))</f>
        <v>0</v>
      </c>
      <c r="J79" s="60"/>
      <c r="K79" s="61"/>
      <c r="L79" s="62"/>
      <c r="M79" s="57"/>
      <c r="N79" s="63"/>
      <c r="O79" s="59">
        <f t="shared" si="20"/>
        <v>0</v>
      </c>
      <c r="P79" s="64" t="str">
        <f t="shared" si="21"/>
        <v/>
      </c>
      <c r="Q79" s="65" t="str">
        <f t="shared" si="22"/>
        <v/>
      </c>
      <c r="R79" s="62"/>
      <c r="S79" s="57"/>
      <c r="T79" s="63"/>
      <c r="U79" s="59">
        <f t="shared" si="23"/>
        <v>0</v>
      </c>
      <c r="V79" s="64" t="str">
        <f t="shared" si="24"/>
        <v/>
      </c>
      <c r="W79" s="65" t="str">
        <f t="shared" si="25"/>
        <v/>
      </c>
      <c r="X79" s="62"/>
      <c r="Y79" s="57"/>
      <c r="Z79" s="63"/>
      <c r="AA79" s="59">
        <f t="shared" si="26"/>
        <v>0</v>
      </c>
      <c r="AB79" s="64" t="str">
        <f t="shared" si="27"/>
        <v/>
      </c>
      <c r="AC79" s="65" t="str">
        <f t="shared" si="28"/>
        <v/>
      </c>
    </row>
    <row r="80" spans="1:29" ht="15" customHeight="1">
      <c r="A80" s="2">
        <f>A79+1</f>
        <v>31</v>
      </c>
      <c r="B80" s="67" t="str">
        <f>[1]!ArticleCode(Art_70.46.)</f>
        <v>70.46.</v>
      </c>
      <c r="C80" s="68" t="str">
        <f>[1]!ArticleDescription(Art_70.46.)</f>
        <v xml:space="preserve">aarding - bijkomende equipotentiaalverbindingen </v>
      </c>
      <c r="D80" s="57" t="str">
        <f>[1]!ArticleMeasureType(Art_70.46.)</f>
        <v/>
      </c>
      <c r="E80" s="57" t="str">
        <f>[1]!ArticleMeasureUnit(Art_70.46.)</f>
        <v>PM</v>
      </c>
      <c r="F80" s="75" t="str">
        <f>[1]!ArticleQuantity(Art_70.46.)</f>
        <v/>
      </c>
      <c r="G80" s="57"/>
      <c r="H80" s="59"/>
      <c r="I80" s="59">
        <f>IF(RIGHT($D80,1)="-","************",ROUND(IF(NOT(ISNUMBER(G80)),IF(NOT(ISNUMBER(F80)),1,F80),G80)*H80,2))</f>
        <v>0</v>
      </c>
      <c r="J80" s="60"/>
      <c r="K80" s="61"/>
      <c r="L80" s="62"/>
      <c r="M80" s="57"/>
      <c r="N80" s="63"/>
      <c r="O80" s="59">
        <f t="shared" si="20"/>
        <v>0</v>
      </c>
      <c r="P80" s="64" t="str">
        <f t="shared" si="21"/>
        <v/>
      </c>
      <c r="Q80" s="65" t="str">
        <f t="shared" si="22"/>
        <v/>
      </c>
      <c r="R80" s="62"/>
      <c r="S80" s="57"/>
      <c r="T80" s="63"/>
      <c r="U80" s="59">
        <f t="shared" si="23"/>
        <v>0</v>
      </c>
      <c r="V80" s="64" t="str">
        <f t="shared" si="24"/>
        <v/>
      </c>
      <c r="W80" s="65" t="str">
        <f t="shared" si="25"/>
        <v/>
      </c>
      <c r="X80" s="62"/>
      <c r="Y80" s="57"/>
      <c r="Z80" s="63"/>
      <c r="AA80" s="59">
        <f t="shared" si="26"/>
        <v>0</v>
      </c>
      <c r="AB80" s="64" t="str">
        <f t="shared" si="27"/>
        <v/>
      </c>
      <c r="AC80" s="65" t="str">
        <f t="shared" si="28"/>
        <v/>
      </c>
    </row>
    <row r="81" spans="1:29" ht="15" customHeight="1">
      <c r="A81" s="2"/>
      <c r="B81" s="67" t="str">
        <f>[1]!ArticleCode(Art_70.50.)</f>
        <v>70.50.</v>
      </c>
      <c r="C81" s="68" t="str">
        <f>[1]!ArticleDescription(Art_70.50.)</f>
        <v>leidingen - algemeen</v>
      </c>
      <c r="D81" s="57"/>
      <c r="E81" s="57"/>
      <c r="F81" s="57"/>
      <c r="G81" s="57"/>
      <c r="H81" s="59"/>
      <c r="I81" s="59"/>
      <c r="J81" s="60"/>
      <c r="K81" s="61"/>
      <c r="L81" s="62"/>
      <c r="M81" s="57"/>
      <c r="N81" s="63"/>
      <c r="O81" s="59">
        <f t="shared" si="20"/>
        <v>0</v>
      </c>
      <c r="P81" s="64" t="str">
        <f t="shared" si="21"/>
        <v/>
      </c>
      <c r="Q81" s="65" t="str">
        <f t="shared" si="22"/>
        <v/>
      </c>
      <c r="R81" s="62"/>
      <c r="S81" s="57"/>
      <c r="T81" s="63"/>
      <c r="U81" s="59">
        <f t="shared" si="23"/>
        <v>0</v>
      </c>
      <c r="V81" s="64" t="str">
        <f t="shared" si="24"/>
        <v/>
      </c>
      <c r="W81" s="65" t="str">
        <f t="shared" si="25"/>
        <v/>
      </c>
      <c r="X81" s="62"/>
      <c r="Y81" s="57"/>
      <c r="Z81" s="63"/>
      <c r="AA81" s="59">
        <f t="shared" si="26"/>
        <v>0</v>
      </c>
      <c r="AB81" s="64" t="str">
        <f t="shared" si="27"/>
        <v/>
      </c>
      <c r="AC81" s="65" t="str">
        <f t="shared" si="28"/>
        <v/>
      </c>
    </row>
    <row r="82" spans="1:29" ht="15" customHeight="1">
      <c r="A82" s="2">
        <f>A80+1</f>
        <v>32</v>
      </c>
      <c r="B82" s="67" t="str">
        <f>[1]!ArticleCode(Art_70.51.)</f>
        <v>70.51.</v>
      </c>
      <c r="C82" s="68" t="str">
        <f>[1]!ArticleDescription(Art_70.51.)</f>
        <v>leidingen – ondergrondse kabels  (enkel levering)</v>
      </c>
      <c r="D82" s="57" t="str">
        <f>[1]!ArticleMeasureType(Art_70.51.)</f>
        <v>FH</v>
      </c>
      <c r="E82" s="57" t="str">
        <f>[1]!ArticleMeasureUnit(Art_70.51.)</f>
        <v>m</v>
      </c>
      <c r="F82" s="76">
        <f>[1]!ArticleQuantity(Art_70.51.)</f>
        <v>52</v>
      </c>
      <c r="G82" s="57"/>
      <c r="H82" s="59"/>
      <c r="I82" s="59">
        <f>IF(RIGHT($D82,1)="-","************",ROUND(IF(NOT(ISNUMBER(G82)),IF(NOT(ISNUMBER(F82)),1,F82),G82)*H82,2))</f>
        <v>0</v>
      </c>
      <c r="J82" s="60"/>
      <c r="K82" s="61"/>
      <c r="L82" s="62"/>
      <c r="M82" s="57"/>
      <c r="N82" s="63"/>
      <c r="O82" s="59">
        <f t="shared" si="20"/>
        <v>0</v>
      </c>
      <c r="P82" s="64" t="str">
        <f t="shared" si="21"/>
        <v/>
      </c>
      <c r="Q82" s="65" t="str">
        <f t="shared" si="22"/>
        <v/>
      </c>
      <c r="R82" s="62"/>
      <c r="S82" s="57"/>
      <c r="T82" s="63"/>
      <c r="U82" s="59">
        <f t="shared" si="23"/>
        <v>0</v>
      </c>
      <c r="V82" s="64" t="str">
        <f t="shared" si="24"/>
        <v/>
      </c>
      <c r="W82" s="65" t="str">
        <f t="shared" si="25"/>
        <v/>
      </c>
      <c r="X82" s="62"/>
      <c r="Y82" s="57"/>
      <c r="Z82" s="63"/>
      <c r="AA82" s="59">
        <f t="shared" si="26"/>
        <v>0</v>
      </c>
      <c r="AB82" s="64" t="str">
        <f t="shared" si="27"/>
        <v/>
      </c>
      <c r="AC82" s="65" t="str">
        <f t="shared" si="28"/>
        <v/>
      </c>
    </row>
    <row r="83" spans="1:29" ht="15" customHeight="1">
      <c r="A83" s="2">
        <f>A82+1</f>
        <v>33</v>
      </c>
      <c r="B83" s="67" t="str">
        <f>[1]!ArticleCode(Art_70.53.)</f>
        <v>70.53.</v>
      </c>
      <c r="C83" s="68" t="str">
        <f>[1]!ArticleDescription(Art_70.53.)</f>
        <v xml:space="preserve">leidingen – inbouw kabelbuizen </v>
      </c>
      <c r="D83" s="57" t="str">
        <f>[1]!ArticleMeasureType(Art_70.53.)</f>
        <v/>
      </c>
      <c r="E83" s="57" t="str">
        <f>[1]!ArticleMeasureUnit(Art_70.53.)</f>
        <v>PM</v>
      </c>
      <c r="F83" s="75" t="str">
        <f>[1]!ArticleQuantity(Art_70.53.)</f>
        <v/>
      </c>
      <c r="G83" s="57"/>
      <c r="H83" s="59"/>
      <c r="I83" s="59">
        <f>IF(RIGHT($D83,1)="-","************",ROUND(IF(NOT(ISNUMBER(G83)),IF(NOT(ISNUMBER(F83)),1,F83),G83)*H83,2))</f>
        <v>0</v>
      </c>
      <c r="J83" s="60"/>
      <c r="K83" s="61"/>
      <c r="L83" s="62"/>
      <c r="M83" s="57"/>
      <c r="N83" s="63"/>
      <c r="O83" s="59">
        <f t="shared" si="20"/>
        <v>0</v>
      </c>
      <c r="P83" s="64" t="str">
        <f t="shared" si="21"/>
        <v/>
      </c>
      <c r="Q83" s="65" t="str">
        <f t="shared" si="22"/>
        <v/>
      </c>
      <c r="R83" s="62"/>
      <c r="S83" s="57"/>
      <c r="T83" s="63"/>
      <c r="U83" s="59">
        <f t="shared" si="23"/>
        <v>0</v>
      </c>
      <c r="V83" s="64" t="str">
        <f t="shared" si="24"/>
        <v/>
      </c>
      <c r="W83" s="65" t="str">
        <f t="shared" si="25"/>
        <v/>
      </c>
      <c r="X83" s="62"/>
      <c r="Y83" s="57"/>
      <c r="Z83" s="63"/>
      <c r="AA83" s="59">
        <f t="shared" si="26"/>
        <v>0</v>
      </c>
      <c r="AB83" s="64" t="str">
        <f t="shared" si="27"/>
        <v/>
      </c>
      <c r="AC83" s="65" t="str">
        <f t="shared" si="28"/>
        <v/>
      </c>
    </row>
    <row r="84" spans="1:29" ht="15" customHeight="1">
      <c r="A84" s="2">
        <f>A83+1</f>
        <v>34</v>
      </c>
      <c r="B84" s="67" t="str">
        <f>[1]!ArticleCode(Art_70.54.)</f>
        <v>70.54.</v>
      </c>
      <c r="C84" s="68" t="str">
        <f>[1]!ArticleDescription(Art_70.54.)</f>
        <v xml:space="preserve">leidingen – opbouw kabelbuizen </v>
      </c>
      <c r="D84" s="57" t="str">
        <f>[1]!ArticleMeasureType(Art_70.54.)</f>
        <v/>
      </c>
      <c r="E84" s="57" t="str">
        <f>[1]!ArticleMeasureUnit(Art_70.54.)</f>
        <v>PM</v>
      </c>
      <c r="F84" s="75" t="str">
        <f>[1]!ArticleQuantity(Art_70.54.)</f>
        <v/>
      </c>
      <c r="G84" s="57"/>
      <c r="H84" s="59"/>
      <c r="I84" s="59">
        <f>IF(RIGHT($D84,1)="-","************",ROUND(IF(NOT(ISNUMBER(G84)),IF(NOT(ISNUMBER(F84)),1,F84),G84)*H84,2))</f>
        <v>0</v>
      </c>
      <c r="J84" s="60"/>
      <c r="K84" s="61"/>
      <c r="L84" s="62"/>
      <c r="M84" s="57"/>
      <c r="N84" s="63"/>
      <c r="O84" s="59">
        <f t="shared" si="20"/>
        <v>0</v>
      </c>
      <c r="P84" s="64" t="str">
        <f t="shared" si="21"/>
        <v/>
      </c>
      <c r="Q84" s="65" t="str">
        <f t="shared" si="22"/>
        <v/>
      </c>
      <c r="R84" s="62"/>
      <c r="S84" s="57"/>
      <c r="T84" s="63"/>
      <c r="U84" s="59">
        <f t="shared" si="23"/>
        <v>0</v>
      </c>
      <c r="V84" s="64" t="str">
        <f t="shared" si="24"/>
        <v/>
      </c>
      <c r="W84" s="65" t="str">
        <f t="shared" si="25"/>
        <v/>
      </c>
      <c r="X84" s="62"/>
      <c r="Y84" s="57"/>
      <c r="Z84" s="63"/>
      <c r="AA84" s="59">
        <f t="shared" si="26"/>
        <v>0</v>
      </c>
      <c r="AB84" s="64" t="str">
        <f t="shared" si="27"/>
        <v/>
      </c>
      <c r="AC84" s="65" t="str">
        <f t="shared" si="28"/>
        <v/>
      </c>
    </row>
    <row r="85" spans="1:29" ht="15" customHeight="1">
      <c r="A85" s="2">
        <f>A84+1</f>
        <v>35</v>
      </c>
      <c r="B85" s="67" t="str">
        <f>[1]!ArticleCode(Art_70.56.)</f>
        <v>70.56.</v>
      </c>
      <c r="C85" s="68" t="str">
        <f>[1]!ArticleDescription(Art_70.56.)</f>
        <v xml:space="preserve">leidingen - kabelgoten en -ladders </v>
      </c>
      <c r="D85" s="57" t="str">
        <f>[1]!ArticleMeasureType(Art_70.56.)</f>
        <v/>
      </c>
      <c r="E85" s="57" t="str">
        <f>[1]!ArticleMeasureUnit(Art_70.56.)</f>
        <v>PM</v>
      </c>
      <c r="F85" s="75" t="str">
        <f>[1]!ArticleQuantity(Art_70.56.)</f>
        <v/>
      </c>
      <c r="G85" s="57"/>
      <c r="H85" s="59"/>
      <c r="I85" s="59">
        <f>IF(RIGHT($D85,1)="-","************",ROUND(IF(NOT(ISNUMBER(G85)),IF(NOT(ISNUMBER(F85)),1,F85),G85)*H85,2))</f>
        <v>0</v>
      </c>
      <c r="J85" s="60"/>
      <c r="K85" s="61"/>
      <c r="L85" s="62"/>
      <c r="M85" s="57"/>
      <c r="N85" s="63"/>
      <c r="O85" s="59">
        <f t="shared" si="20"/>
        <v>0</v>
      </c>
      <c r="P85" s="64" t="str">
        <f t="shared" si="21"/>
        <v/>
      </c>
      <c r="Q85" s="65" t="str">
        <f t="shared" si="22"/>
        <v/>
      </c>
      <c r="R85" s="62"/>
      <c r="S85" s="57"/>
      <c r="T85" s="63"/>
      <c r="U85" s="59">
        <f t="shared" si="23"/>
        <v>0</v>
      </c>
      <c r="V85" s="64" t="str">
        <f t="shared" si="24"/>
        <v/>
      </c>
      <c r="W85" s="65" t="str">
        <f t="shared" si="25"/>
        <v/>
      </c>
      <c r="X85" s="62"/>
      <c r="Y85" s="57"/>
      <c r="Z85" s="63"/>
      <c r="AA85" s="59">
        <f t="shared" si="26"/>
        <v>0</v>
      </c>
      <c r="AB85" s="64" t="str">
        <f t="shared" si="27"/>
        <v/>
      </c>
      <c r="AC85" s="65" t="str">
        <f t="shared" si="28"/>
        <v/>
      </c>
    </row>
    <row r="86" spans="1:29" ht="15" customHeight="1">
      <c r="A86" s="2"/>
      <c r="B86" s="67" t="str">
        <f>[1]!ArticleCode(Art_70.57.)</f>
        <v>70.57.</v>
      </c>
      <c r="C86" s="68" t="str">
        <f>[1]!ArticleDescription(Art_70.57.)</f>
        <v xml:space="preserve">leidingen - wachtbuizen </v>
      </c>
      <c r="D86" s="57"/>
      <c r="E86" s="57"/>
      <c r="F86" s="57"/>
      <c r="G86" s="57"/>
      <c r="H86" s="59"/>
      <c r="I86" s="59"/>
      <c r="J86" s="60"/>
      <c r="K86" s="61"/>
      <c r="L86" s="62"/>
      <c r="M86" s="57"/>
      <c r="N86" s="63"/>
      <c r="O86" s="59">
        <f t="shared" si="20"/>
        <v>0</v>
      </c>
      <c r="P86" s="64" t="str">
        <f t="shared" si="21"/>
        <v/>
      </c>
      <c r="Q86" s="65" t="str">
        <f t="shared" si="22"/>
        <v/>
      </c>
      <c r="R86" s="62"/>
      <c r="S86" s="57"/>
      <c r="T86" s="63"/>
      <c r="U86" s="59">
        <f t="shared" si="23"/>
        <v>0</v>
      </c>
      <c r="V86" s="64" t="str">
        <f t="shared" si="24"/>
        <v/>
      </c>
      <c r="W86" s="65" t="str">
        <f t="shared" si="25"/>
        <v/>
      </c>
      <c r="X86" s="62"/>
      <c r="Y86" s="57"/>
      <c r="Z86" s="63"/>
      <c r="AA86" s="59">
        <f t="shared" si="26"/>
        <v>0</v>
      </c>
      <c r="AB86" s="64" t="str">
        <f t="shared" si="27"/>
        <v/>
      </c>
      <c r="AC86" s="65" t="str">
        <f t="shared" si="28"/>
        <v/>
      </c>
    </row>
    <row r="87" spans="1:29" ht="15" customHeight="1">
      <c r="A87" s="2"/>
      <c r="B87" s="67" t="str">
        <f>[1]!ArticleCode(Art_70.60.)</f>
        <v>70.60.</v>
      </c>
      <c r="C87" s="68" t="str">
        <f>[1]!ArticleDescription(Art_70.60.)</f>
        <v>trek- en verbindingsdozen - algemeen</v>
      </c>
      <c r="D87" s="57"/>
      <c r="E87" s="57"/>
      <c r="F87" s="57"/>
      <c r="G87" s="57"/>
      <c r="H87" s="59"/>
      <c r="I87" s="59"/>
      <c r="J87" s="60"/>
      <c r="K87" s="61"/>
      <c r="L87" s="62"/>
      <c r="M87" s="57"/>
      <c r="N87" s="63"/>
      <c r="O87" s="59">
        <f t="shared" si="20"/>
        <v>0</v>
      </c>
      <c r="P87" s="64" t="str">
        <f t="shared" si="21"/>
        <v/>
      </c>
      <c r="Q87" s="65" t="str">
        <f t="shared" si="22"/>
        <v/>
      </c>
      <c r="R87" s="62"/>
      <c r="S87" s="57"/>
      <c r="T87" s="63"/>
      <c r="U87" s="59">
        <f t="shared" si="23"/>
        <v>0</v>
      </c>
      <c r="V87" s="64" t="str">
        <f t="shared" si="24"/>
        <v/>
      </c>
      <c r="W87" s="65" t="str">
        <f t="shared" si="25"/>
        <v/>
      </c>
      <c r="X87" s="62"/>
      <c r="Y87" s="57"/>
      <c r="Z87" s="63"/>
      <c r="AA87" s="59">
        <f t="shared" si="26"/>
        <v>0</v>
      </c>
      <c r="AB87" s="64" t="str">
        <f t="shared" si="27"/>
        <v/>
      </c>
      <c r="AC87" s="65" t="str">
        <f t="shared" si="28"/>
        <v/>
      </c>
    </row>
    <row r="88" spans="1:29" ht="15" customHeight="1">
      <c r="A88" s="2">
        <f>A85+1</f>
        <v>36</v>
      </c>
      <c r="B88" s="67" t="str">
        <f>[1]!ArticleCode(Art_70.61.)</f>
        <v>70.61.</v>
      </c>
      <c r="C88" s="68" t="str">
        <f>[1]!ArticleDescription(Art_70.61.)</f>
        <v xml:space="preserve">trek- en verbindingsdozen - inbouw metselwerk </v>
      </c>
      <c r="D88" s="57" t="str">
        <f>[1]!ArticleMeasureType(Art_70.61.)</f>
        <v/>
      </c>
      <c r="E88" s="57" t="str">
        <f>[1]!ArticleMeasureUnit(Art_70.61.)</f>
        <v>PM</v>
      </c>
      <c r="F88" s="75" t="str">
        <f>[1]!ArticleQuantity(Art_70.61.)</f>
        <v/>
      </c>
      <c r="G88" s="57"/>
      <c r="H88" s="59"/>
      <c r="I88" s="59">
        <f>IF(RIGHT($D88,1)="-","************",ROUND(IF(NOT(ISNUMBER(G88)),IF(NOT(ISNUMBER(F88)),1,F88),G88)*H88,2))</f>
        <v>0</v>
      </c>
      <c r="J88" s="60"/>
      <c r="K88" s="61"/>
      <c r="L88" s="62"/>
      <c r="M88" s="57"/>
      <c r="N88" s="63"/>
      <c r="O88" s="59">
        <f t="shared" si="20"/>
        <v>0</v>
      </c>
      <c r="P88" s="64" t="str">
        <f t="shared" si="21"/>
        <v/>
      </c>
      <c r="Q88" s="65" t="str">
        <f t="shared" si="22"/>
        <v/>
      </c>
      <c r="R88" s="62"/>
      <c r="S88" s="57"/>
      <c r="T88" s="63"/>
      <c r="U88" s="59">
        <f t="shared" si="23"/>
        <v>0</v>
      </c>
      <c r="V88" s="64" t="str">
        <f t="shared" si="24"/>
        <v/>
      </c>
      <c r="W88" s="65" t="str">
        <f t="shared" si="25"/>
        <v/>
      </c>
      <c r="X88" s="62"/>
      <c r="Y88" s="57"/>
      <c r="Z88" s="63"/>
      <c r="AA88" s="59">
        <f t="shared" si="26"/>
        <v>0</v>
      </c>
      <c r="AB88" s="64" t="str">
        <f t="shared" si="27"/>
        <v/>
      </c>
      <c r="AC88" s="65" t="str">
        <f t="shared" si="28"/>
        <v/>
      </c>
    </row>
    <row r="89" spans="1:29" ht="15" customHeight="1">
      <c r="A89" s="2">
        <f>A88+1</f>
        <v>37</v>
      </c>
      <c r="B89" s="67" t="str">
        <f>[1]!ArticleCode(Art_70.62.)</f>
        <v>70.62.</v>
      </c>
      <c r="C89" s="68" t="str">
        <f>[1]!ArticleDescription(Art_70.62.)</f>
        <v xml:space="preserve">trek- en verbindingsdozen - inbouw holle wanden </v>
      </c>
      <c r="D89" s="57" t="str">
        <f>[1]!ArticleMeasureType(Art_70.62.)</f>
        <v/>
      </c>
      <c r="E89" s="57" t="str">
        <f>[1]!ArticleMeasureUnit(Art_70.62.)</f>
        <v>PM</v>
      </c>
      <c r="F89" s="75" t="str">
        <f>[1]!ArticleQuantity(Art_70.62.)</f>
        <v/>
      </c>
      <c r="G89" s="57"/>
      <c r="H89" s="59"/>
      <c r="I89" s="59">
        <f>IF(RIGHT($D89,1)="-","************",ROUND(IF(NOT(ISNUMBER(G89)),IF(NOT(ISNUMBER(F89)),1,F89),G89)*H89,2))</f>
        <v>0</v>
      </c>
      <c r="J89" s="60"/>
      <c r="K89" s="61"/>
      <c r="L89" s="62"/>
      <c r="M89" s="57"/>
      <c r="N89" s="63"/>
      <c r="O89" s="59">
        <f t="shared" si="20"/>
        <v>0</v>
      </c>
      <c r="P89" s="64" t="str">
        <f t="shared" si="21"/>
        <v/>
      </c>
      <c r="Q89" s="65" t="str">
        <f t="shared" si="22"/>
        <v/>
      </c>
      <c r="R89" s="62"/>
      <c r="S89" s="57"/>
      <c r="T89" s="63"/>
      <c r="U89" s="59">
        <f t="shared" si="23"/>
        <v>0</v>
      </c>
      <c r="V89" s="64" t="str">
        <f t="shared" si="24"/>
        <v/>
      </c>
      <c r="W89" s="65" t="str">
        <f t="shared" si="25"/>
        <v/>
      </c>
      <c r="X89" s="62"/>
      <c r="Y89" s="57"/>
      <c r="Z89" s="63"/>
      <c r="AA89" s="59">
        <f t="shared" si="26"/>
        <v>0</v>
      </c>
      <c r="AB89" s="64" t="str">
        <f t="shared" si="27"/>
        <v/>
      </c>
      <c r="AC89" s="65" t="str">
        <f t="shared" si="28"/>
        <v/>
      </c>
    </row>
    <row r="90" spans="1:29" ht="15" customHeight="1">
      <c r="A90" s="2">
        <f>A89+1</f>
        <v>38</v>
      </c>
      <c r="B90" s="67" t="str">
        <f>[1]!ArticleCode(Art_70.65.)</f>
        <v>70.65.</v>
      </c>
      <c r="C90" s="68" t="str">
        <f>[1]!ArticleDescription(Art_70.65.)</f>
        <v xml:space="preserve">trek- en verbindingsdozen – opbouw beton of metselwerk </v>
      </c>
      <c r="D90" s="57" t="str">
        <f>[1]!ArticleMeasureType(Art_70.65.)</f>
        <v/>
      </c>
      <c r="E90" s="57" t="str">
        <f>[1]!ArticleMeasureUnit(Art_70.65.)</f>
        <v>PM</v>
      </c>
      <c r="F90" s="75" t="str">
        <f>[1]!ArticleQuantity(Art_70.65.)</f>
        <v/>
      </c>
      <c r="G90" s="57"/>
      <c r="H90" s="59"/>
      <c r="I90" s="59">
        <f>IF(RIGHT($D90,1)="-","************",ROUND(IF(NOT(ISNUMBER(G90)),IF(NOT(ISNUMBER(F90)),1,F90),G90)*H90,2))</f>
        <v>0</v>
      </c>
      <c r="J90" s="60"/>
      <c r="K90" s="61"/>
      <c r="L90" s="62"/>
      <c r="M90" s="57"/>
      <c r="N90" s="63"/>
      <c r="O90" s="59">
        <f t="shared" si="20"/>
        <v>0</v>
      </c>
      <c r="P90" s="64" t="str">
        <f t="shared" si="21"/>
        <v/>
      </c>
      <c r="Q90" s="65" t="str">
        <f t="shared" si="22"/>
        <v/>
      </c>
      <c r="R90" s="62"/>
      <c r="S90" s="57"/>
      <c r="T90" s="63"/>
      <c r="U90" s="59">
        <f t="shared" si="23"/>
        <v>0</v>
      </c>
      <c r="V90" s="64" t="str">
        <f t="shared" si="24"/>
        <v/>
      </c>
      <c r="W90" s="65" t="str">
        <f t="shared" si="25"/>
        <v/>
      </c>
      <c r="X90" s="62"/>
      <c r="Y90" s="57"/>
      <c r="Z90" s="63"/>
      <c r="AA90" s="59">
        <f t="shared" si="26"/>
        <v>0</v>
      </c>
      <c r="AB90" s="64" t="str">
        <f t="shared" si="27"/>
        <v/>
      </c>
      <c r="AC90" s="65" t="str">
        <f t="shared" si="28"/>
        <v/>
      </c>
    </row>
    <row r="91" spans="1:29" ht="15" customHeight="1">
      <c r="A91" s="2"/>
      <c r="B91" s="69"/>
      <c r="C91" s="70"/>
      <c r="D91" s="71"/>
      <c r="E91" s="70"/>
      <c r="F91" s="70"/>
      <c r="G91" s="70"/>
      <c r="H91" s="72"/>
      <c r="I91" s="72"/>
      <c r="J91" s="73">
        <f>SUBTOTAL(9,I62:I90)</f>
        <v>0</v>
      </c>
      <c r="K91" s="61"/>
      <c r="L91" s="62"/>
      <c r="M91" s="57"/>
      <c r="N91" s="63"/>
      <c r="O91" s="59">
        <f t="shared" si="20"/>
        <v>0</v>
      </c>
      <c r="P91" s="64" t="str">
        <f t="shared" si="21"/>
        <v/>
      </c>
      <c r="Q91" s="65" t="str">
        <f t="shared" si="22"/>
        <v/>
      </c>
      <c r="R91" s="62"/>
      <c r="S91" s="57"/>
      <c r="T91" s="63"/>
      <c r="U91" s="59">
        <f t="shared" si="23"/>
        <v>0</v>
      </c>
      <c r="V91" s="64" t="str">
        <f t="shared" si="24"/>
        <v/>
      </c>
      <c r="W91" s="65" t="str">
        <f t="shared" si="25"/>
        <v/>
      </c>
      <c r="X91" s="62"/>
      <c r="Y91" s="57"/>
      <c r="Z91" s="63"/>
      <c r="AA91" s="59">
        <f t="shared" si="26"/>
        <v>0</v>
      </c>
      <c r="AB91" s="64" t="str">
        <f t="shared" si="27"/>
        <v/>
      </c>
      <c r="AC91" s="65" t="str">
        <f t="shared" si="28"/>
        <v/>
      </c>
    </row>
    <row r="92" spans="1:29" ht="15" customHeight="1">
      <c r="A92" s="2"/>
      <c r="B92" s="74"/>
      <c r="C92" s="57"/>
      <c r="D92" s="57"/>
      <c r="E92" s="57"/>
      <c r="F92" s="57"/>
      <c r="G92" s="57"/>
      <c r="H92" s="59"/>
      <c r="I92" s="59"/>
      <c r="J92" s="60"/>
      <c r="K92" s="61"/>
      <c r="L92" s="62"/>
      <c r="M92" s="57"/>
      <c r="N92" s="63"/>
      <c r="O92" s="59">
        <f t="shared" si="20"/>
        <v>0</v>
      </c>
      <c r="P92" s="64" t="str">
        <f t="shared" si="21"/>
        <v/>
      </c>
      <c r="Q92" s="65" t="str">
        <f t="shared" si="22"/>
        <v/>
      </c>
      <c r="R92" s="62"/>
      <c r="S92" s="57"/>
      <c r="T92" s="63"/>
      <c r="U92" s="59">
        <f t="shared" si="23"/>
        <v>0</v>
      </c>
      <c r="V92" s="64" t="str">
        <f t="shared" si="24"/>
        <v/>
      </c>
      <c r="W92" s="65" t="str">
        <f t="shared" si="25"/>
        <v/>
      </c>
      <c r="X92" s="62"/>
      <c r="Y92" s="57"/>
      <c r="Z92" s="63"/>
      <c r="AA92" s="59">
        <f t="shared" si="26"/>
        <v>0</v>
      </c>
      <c r="AB92" s="64" t="str">
        <f t="shared" si="27"/>
        <v/>
      </c>
      <c r="AC92" s="65" t="str">
        <f t="shared" si="28"/>
        <v/>
      </c>
    </row>
    <row r="93" spans="1:29" ht="15" customHeight="1">
      <c r="A93" s="2"/>
      <c r="B93" s="56" t="s">
        <v>311</v>
      </c>
      <c r="C93" s="57"/>
      <c r="D93" s="58"/>
      <c r="E93" s="57"/>
      <c r="F93" s="57"/>
      <c r="G93" s="57"/>
      <c r="H93" s="59"/>
      <c r="I93" s="59"/>
      <c r="J93" s="60"/>
      <c r="K93" s="61"/>
      <c r="L93" s="62"/>
      <c r="M93" s="57"/>
      <c r="N93" s="63"/>
      <c r="O93" s="59">
        <f t="shared" si="20"/>
        <v>0</v>
      </c>
      <c r="P93" s="64" t="str">
        <f t="shared" si="21"/>
        <v/>
      </c>
      <c r="Q93" s="65" t="str">
        <f t="shared" si="22"/>
        <v/>
      </c>
      <c r="R93" s="62"/>
      <c r="S93" s="57"/>
      <c r="T93" s="63"/>
      <c r="U93" s="59">
        <f t="shared" si="23"/>
        <v>0</v>
      </c>
      <c r="V93" s="64" t="str">
        <f t="shared" si="24"/>
        <v/>
      </c>
      <c r="W93" s="65" t="str">
        <f t="shared" si="25"/>
        <v/>
      </c>
      <c r="X93" s="62"/>
      <c r="Y93" s="57"/>
      <c r="Z93" s="63"/>
      <c r="AA93" s="59">
        <f t="shared" si="26"/>
        <v>0</v>
      </c>
      <c r="AB93" s="64" t="str">
        <f t="shared" si="27"/>
        <v/>
      </c>
      <c r="AC93" s="65" t="str">
        <f t="shared" si="28"/>
        <v/>
      </c>
    </row>
    <row r="94" spans="1:29" ht="15" customHeight="1">
      <c r="A94" s="2"/>
      <c r="B94" s="67" t="str">
        <f>[1]!ArticleCode(Art_71.)</f>
        <v>71.</v>
      </c>
      <c r="C94" s="68" t="str">
        <f>[1]!ArticleDescription(Art_71.)</f>
        <v>ELEKTRICITEIT SCHAKELAARS &amp; CONTACTDOZEN</v>
      </c>
      <c r="D94" s="57"/>
      <c r="E94" s="57"/>
      <c r="F94" s="57"/>
      <c r="G94" s="57"/>
      <c r="H94" s="59"/>
      <c r="I94" s="59"/>
      <c r="J94" s="60"/>
      <c r="K94" s="61"/>
      <c r="L94" s="62"/>
      <c r="M94" s="57"/>
      <c r="N94" s="63"/>
      <c r="O94" s="59">
        <f t="shared" si="20"/>
        <v>0</v>
      </c>
      <c r="P94" s="64" t="str">
        <f t="shared" si="21"/>
        <v/>
      </c>
      <c r="Q94" s="65" t="str">
        <f t="shared" si="22"/>
        <v/>
      </c>
      <c r="R94" s="62"/>
      <c r="S94" s="57"/>
      <c r="T94" s="63"/>
      <c r="U94" s="59">
        <f t="shared" si="23"/>
        <v>0</v>
      </c>
      <c r="V94" s="64" t="str">
        <f t="shared" si="24"/>
        <v/>
      </c>
      <c r="W94" s="65" t="str">
        <f t="shared" si="25"/>
        <v/>
      </c>
      <c r="X94" s="62"/>
      <c r="Y94" s="57"/>
      <c r="Z94" s="63"/>
      <c r="AA94" s="59">
        <f t="shared" si="26"/>
        <v>0</v>
      </c>
      <c r="AB94" s="64" t="str">
        <f t="shared" si="27"/>
        <v/>
      </c>
      <c r="AC94" s="65" t="str">
        <f t="shared" si="28"/>
        <v/>
      </c>
    </row>
    <row r="95" spans="1:29" ht="15" customHeight="1">
      <c r="A95" s="2"/>
      <c r="B95" s="67" t="str">
        <f>[1]!ArticleCode(Art_71.00.)</f>
        <v>71.00.</v>
      </c>
      <c r="C95" s="68" t="str">
        <f>[1]!ArticleDescription(Art_71.00.)</f>
        <v>elektriciteit schakelaars &amp; contactdozen - algemeen</v>
      </c>
      <c r="D95" s="57"/>
      <c r="E95" s="57"/>
      <c r="F95" s="57"/>
      <c r="G95" s="57"/>
      <c r="H95" s="59"/>
      <c r="I95" s="59"/>
      <c r="J95" s="60"/>
      <c r="K95" s="61"/>
      <c r="L95" s="62"/>
      <c r="M95" s="57"/>
      <c r="N95" s="63"/>
      <c r="O95" s="59">
        <f t="shared" si="20"/>
        <v>0</v>
      </c>
      <c r="P95" s="64" t="str">
        <f t="shared" si="21"/>
        <v/>
      </c>
      <c r="Q95" s="65" t="str">
        <f t="shared" si="22"/>
        <v/>
      </c>
      <c r="R95" s="62"/>
      <c r="S95" s="57"/>
      <c r="T95" s="63"/>
      <c r="U95" s="59">
        <f t="shared" si="23"/>
        <v>0</v>
      </c>
      <c r="V95" s="64" t="str">
        <f t="shared" si="24"/>
        <v/>
      </c>
      <c r="W95" s="65" t="str">
        <f t="shared" si="25"/>
        <v/>
      </c>
      <c r="X95" s="62"/>
      <c r="Y95" s="57"/>
      <c r="Z95" s="63"/>
      <c r="AA95" s="59">
        <f t="shared" si="26"/>
        <v>0</v>
      </c>
      <c r="AB95" s="64" t="str">
        <f t="shared" si="27"/>
        <v/>
      </c>
      <c r="AC95" s="65" t="str">
        <f t="shared" si="28"/>
        <v/>
      </c>
    </row>
    <row r="96" spans="1:29" ht="15" customHeight="1">
      <c r="A96" s="2"/>
      <c r="B96" s="67" t="str">
        <f>[1]!ArticleCode(Art_71.10.)</f>
        <v>71.10.</v>
      </c>
      <c r="C96" s="68" t="str">
        <f>[1]!ArticleDescription(Art_71.10.)</f>
        <v>stopcontacten - algemeen</v>
      </c>
      <c r="D96" s="57"/>
      <c r="E96" s="57"/>
      <c r="F96" s="57"/>
      <c r="G96" s="57"/>
      <c r="H96" s="59"/>
      <c r="I96" s="59"/>
      <c r="J96" s="60"/>
      <c r="K96" s="61"/>
      <c r="L96" s="62"/>
      <c r="M96" s="57"/>
      <c r="N96" s="63"/>
      <c r="O96" s="59">
        <f t="shared" si="20"/>
        <v>0</v>
      </c>
      <c r="P96" s="64" t="str">
        <f t="shared" si="21"/>
        <v/>
      </c>
      <c r="Q96" s="65" t="str">
        <f t="shared" si="22"/>
        <v/>
      </c>
      <c r="R96" s="62"/>
      <c r="S96" s="57"/>
      <c r="T96" s="63"/>
      <c r="U96" s="59">
        <f t="shared" si="23"/>
        <v>0</v>
      </c>
      <c r="V96" s="64" t="str">
        <f t="shared" si="24"/>
        <v/>
      </c>
      <c r="W96" s="65" t="str">
        <f t="shared" si="25"/>
        <v/>
      </c>
      <c r="X96" s="62"/>
      <c r="Y96" s="57"/>
      <c r="Z96" s="63"/>
      <c r="AA96" s="59">
        <f t="shared" si="26"/>
        <v>0</v>
      </c>
      <c r="AB96" s="64" t="str">
        <f t="shared" si="27"/>
        <v/>
      </c>
      <c r="AC96" s="65" t="str">
        <f t="shared" si="28"/>
        <v/>
      </c>
    </row>
    <row r="97" spans="1:29" ht="15" customHeight="1">
      <c r="A97" s="2">
        <f>A90+1</f>
        <v>39</v>
      </c>
      <c r="B97" s="67" t="str">
        <f>[1]!ArticleCode(Art_71.11.)</f>
        <v>71.11.</v>
      </c>
      <c r="C97" s="68" t="str">
        <f>[1]!ArticleDescription(Art_71.11.)</f>
        <v>stopcontacten (slijpwerken en kabels trekken excl)</v>
      </c>
      <c r="D97" s="57" t="str">
        <f>[1]!ArticleMeasureType(Art_71.11.)</f>
        <v>FH</v>
      </c>
      <c r="E97" s="57" t="str">
        <f>[1]!ArticleMeasureUnit(Art_71.11.)</f>
        <v>st</v>
      </c>
      <c r="F97" s="75">
        <f>[1]!ArticleQuantity(Art_71.11.)</f>
        <v>56</v>
      </c>
      <c r="G97" s="57"/>
      <c r="H97" s="59"/>
      <c r="I97" s="59">
        <f>IF(RIGHT($D97,1)="-","************",ROUND(IF(NOT(ISNUMBER(G97)),IF(NOT(ISNUMBER(F97)),1,F97),G97)*H97,2))</f>
        <v>0</v>
      </c>
      <c r="J97" s="60"/>
      <c r="K97" s="61"/>
      <c r="L97" s="62"/>
      <c r="M97" s="57"/>
      <c r="N97" s="63"/>
      <c r="O97" s="59">
        <f t="shared" si="20"/>
        <v>0</v>
      </c>
      <c r="P97" s="64" t="str">
        <f t="shared" si="21"/>
        <v/>
      </c>
      <c r="Q97" s="65" t="str">
        <f t="shared" si="22"/>
        <v/>
      </c>
      <c r="R97" s="62"/>
      <c r="S97" s="57"/>
      <c r="T97" s="63"/>
      <c r="U97" s="59">
        <f t="shared" si="23"/>
        <v>0</v>
      </c>
      <c r="V97" s="64" t="str">
        <f t="shared" si="24"/>
        <v/>
      </c>
      <c r="W97" s="65" t="str">
        <f t="shared" si="25"/>
        <v/>
      </c>
      <c r="X97" s="62"/>
      <c r="Y97" s="57"/>
      <c r="Z97" s="63"/>
      <c r="AA97" s="59">
        <f t="shared" si="26"/>
        <v>0</v>
      </c>
      <c r="AB97" s="64" t="str">
        <f t="shared" si="27"/>
        <v/>
      </c>
      <c r="AC97" s="65" t="str">
        <f t="shared" si="28"/>
        <v/>
      </c>
    </row>
    <row r="98" spans="1:29" ht="15" customHeight="1">
      <c r="A98" s="2">
        <f>A97+1</f>
        <v>40</v>
      </c>
      <c r="B98" s="67" t="str">
        <f>[1]!ArticleCode(Art_71.13.)</f>
        <v>71.13.</v>
      </c>
      <c r="C98" s="68" t="str">
        <f>[1]!ArticleDescription(Art_71.13.)</f>
        <v xml:space="preserve">stopcontacten - 40/63A </v>
      </c>
      <c r="D98" s="57" t="str">
        <f>[1]!ArticleMeasureType(Art_71.13.)</f>
        <v>FH</v>
      </c>
      <c r="E98" s="57" t="str">
        <f>[1]!ArticleMeasureUnit(Art_71.13.)</f>
        <v>st</v>
      </c>
      <c r="F98" s="75">
        <f>[1]!ArticleQuantity(Art_71.13.)</f>
        <v>2</v>
      </c>
      <c r="G98" s="57"/>
      <c r="H98" s="59"/>
      <c r="I98" s="59">
        <f>IF(RIGHT($D98,1)="-","************",ROUND(IF(NOT(ISNUMBER(G98)),IF(NOT(ISNUMBER(F98)),1,F98),G98)*H98,2))</f>
        <v>0</v>
      </c>
      <c r="J98" s="60"/>
      <c r="K98" s="61"/>
      <c r="L98" s="62"/>
      <c r="M98" s="57"/>
      <c r="N98" s="63"/>
      <c r="O98" s="59">
        <f t="shared" si="20"/>
        <v>0</v>
      </c>
      <c r="P98" s="64" t="str">
        <f t="shared" si="21"/>
        <v/>
      </c>
      <c r="Q98" s="65" t="str">
        <f t="shared" si="22"/>
        <v/>
      </c>
      <c r="R98" s="62"/>
      <c r="S98" s="57"/>
      <c r="T98" s="63"/>
      <c r="U98" s="59">
        <f t="shared" si="23"/>
        <v>0</v>
      </c>
      <c r="V98" s="64" t="str">
        <f t="shared" si="24"/>
        <v/>
      </c>
      <c r="W98" s="65" t="str">
        <f t="shared" si="25"/>
        <v/>
      </c>
      <c r="X98" s="62"/>
      <c r="Y98" s="57"/>
      <c r="Z98" s="63"/>
      <c r="AA98" s="59">
        <f t="shared" si="26"/>
        <v>0</v>
      </c>
      <c r="AB98" s="64" t="str">
        <f t="shared" si="27"/>
        <v/>
      </c>
      <c r="AC98" s="65" t="str">
        <f t="shared" si="28"/>
        <v/>
      </c>
    </row>
    <row r="99" spans="1:29" ht="15" customHeight="1">
      <c r="A99" s="2"/>
      <c r="B99" s="67" t="str">
        <f>[1]!ArticleCode(Art_71.20.)</f>
        <v>71.20.</v>
      </c>
      <c r="C99" s="68" t="str">
        <f>[1]!ArticleDescription(Art_71.20.)</f>
        <v>aansluitdozen - algemeen</v>
      </c>
      <c r="D99" s="57"/>
      <c r="E99" s="57"/>
      <c r="F99" s="57"/>
      <c r="G99" s="57"/>
      <c r="H99" s="59"/>
      <c r="I99" s="59"/>
      <c r="J99" s="60"/>
      <c r="K99" s="61"/>
      <c r="L99" s="62"/>
      <c r="M99" s="57"/>
      <c r="N99" s="63"/>
      <c r="O99" s="59">
        <f t="shared" si="20"/>
        <v>0</v>
      </c>
      <c r="P99" s="64" t="str">
        <f t="shared" si="21"/>
        <v/>
      </c>
      <c r="Q99" s="65" t="str">
        <f t="shared" si="22"/>
        <v/>
      </c>
      <c r="R99" s="62"/>
      <c r="S99" s="57"/>
      <c r="T99" s="63"/>
      <c r="U99" s="59">
        <f t="shared" si="23"/>
        <v>0</v>
      </c>
      <c r="V99" s="64" t="str">
        <f t="shared" si="24"/>
        <v/>
      </c>
      <c r="W99" s="65" t="str">
        <f t="shared" si="25"/>
        <v/>
      </c>
      <c r="X99" s="62"/>
      <c r="Y99" s="57"/>
      <c r="Z99" s="63"/>
      <c r="AA99" s="59">
        <f t="shared" si="26"/>
        <v>0</v>
      </c>
      <c r="AB99" s="64" t="str">
        <f t="shared" si="27"/>
        <v/>
      </c>
      <c r="AC99" s="65" t="str">
        <f t="shared" si="28"/>
        <v/>
      </c>
    </row>
    <row r="100" spans="1:29" ht="15" customHeight="1">
      <c r="A100" s="2">
        <f>A98+1</f>
        <v>41</v>
      </c>
      <c r="B100" s="67" t="str">
        <f>[1]!ArticleCode(Art_71.21.)</f>
        <v>71.21.</v>
      </c>
      <c r="C100" s="68" t="str">
        <f>[1]!ArticleDescription(Art_71.21.)</f>
        <v>aansluitdozen - voeding elektrisch fornuis en andere  (slijpwerken en kabels trekken excl)</v>
      </c>
      <c r="D100" s="57" t="str">
        <f>[1]!ArticleMeasureType(Art_71.21.)</f>
        <v>FH</v>
      </c>
      <c r="E100" s="57" t="str">
        <f>[1]!ArticleMeasureUnit(Art_71.21.)</f>
        <v>st</v>
      </c>
      <c r="F100" s="75">
        <f>[1]!ArticleQuantity(Art_71.21.)</f>
        <v>1</v>
      </c>
      <c r="G100" s="57"/>
      <c r="H100" s="59"/>
      <c r="I100" s="59">
        <f>IF(RIGHT($D100,1)="-","************",ROUND(IF(NOT(ISNUMBER(G100)),IF(NOT(ISNUMBER(F100)),1,F100),G100)*H100,2))</f>
        <v>0</v>
      </c>
      <c r="J100" s="60"/>
      <c r="K100" s="61"/>
      <c r="L100" s="62"/>
      <c r="M100" s="57"/>
      <c r="N100" s="63"/>
      <c r="O100" s="59">
        <f t="shared" si="20"/>
        <v>0</v>
      </c>
      <c r="P100" s="64" t="str">
        <f t="shared" si="21"/>
        <v/>
      </c>
      <c r="Q100" s="65" t="str">
        <f t="shared" si="22"/>
        <v/>
      </c>
      <c r="R100" s="62"/>
      <c r="S100" s="57"/>
      <c r="T100" s="63"/>
      <c r="U100" s="59">
        <f t="shared" si="23"/>
        <v>0</v>
      </c>
      <c r="V100" s="64" t="str">
        <f t="shared" si="24"/>
        <v/>
      </c>
      <c r="W100" s="65" t="str">
        <f t="shared" si="25"/>
        <v/>
      </c>
      <c r="X100" s="62"/>
      <c r="Y100" s="57"/>
      <c r="Z100" s="63"/>
      <c r="AA100" s="59">
        <f t="shared" si="26"/>
        <v>0</v>
      </c>
      <c r="AB100" s="64" t="str">
        <f t="shared" si="27"/>
        <v/>
      </c>
      <c r="AC100" s="65" t="str">
        <f t="shared" si="28"/>
        <v/>
      </c>
    </row>
    <row r="101" spans="1:29" ht="15" customHeight="1">
      <c r="A101" s="2">
        <f>A100+1</f>
        <v>42</v>
      </c>
      <c r="B101" s="67" t="str">
        <f>[1]!ArticleCode(Art_71.23.)</f>
        <v>71.23.</v>
      </c>
      <c r="C101" s="68" t="str">
        <f>[1]!ArticleDescription(Art_71.23.)</f>
        <v>aansluitdozen - voeding HVAC en andere  (slijpwerken en kabels trekken excl)</v>
      </c>
      <c r="D101" s="57" t="str">
        <f>[1]!ArticleMeasureType(Art_71.23.)</f>
        <v>FH</v>
      </c>
      <c r="E101" s="57" t="str">
        <f>[1]!ArticleMeasureUnit(Art_71.23.)</f>
        <v>st</v>
      </c>
      <c r="F101" s="75">
        <f>[1]!ArticleQuantity(Art_71.23.)</f>
        <v>9</v>
      </c>
      <c r="G101" s="57"/>
      <c r="H101" s="59"/>
      <c r="I101" s="59">
        <f>IF(RIGHT($D101,1)="-","************",ROUND(IF(NOT(ISNUMBER(G101)),IF(NOT(ISNUMBER(F101)),1,F101),G101)*H101,2))</f>
        <v>0</v>
      </c>
      <c r="J101" s="60"/>
      <c r="K101" s="61"/>
      <c r="L101" s="62"/>
      <c r="M101" s="57"/>
      <c r="N101" s="63"/>
      <c r="O101" s="59">
        <f t="shared" si="20"/>
        <v>0</v>
      </c>
      <c r="P101" s="64" t="str">
        <f t="shared" si="21"/>
        <v/>
      </c>
      <c r="Q101" s="65" t="str">
        <f t="shared" si="22"/>
        <v/>
      </c>
      <c r="R101" s="62"/>
      <c r="S101" s="57"/>
      <c r="T101" s="63"/>
      <c r="U101" s="59">
        <f t="shared" si="23"/>
        <v>0</v>
      </c>
      <c r="V101" s="64" t="str">
        <f t="shared" si="24"/>
        <v/>
      </c>
      <c r="W101" s="65" t="str">
        <f t="shared" si="25"/>
        <v/>
      </c>
      <c r="X101" s="62"/>
      <c r="Y101" s="57"/>
      <c r="Z101" s="63"/>
      <c r="AA101" s="59">
        <f t="shared" si="26"/>
        <v>0</v>
      </c>
      <c r="AB101" s="64" t="str">
        <f t="shared" si="27"/>
        <v/>
      </c>
      <c r="AC101" s="65" t="str">
        <f t="shared" si="28"/>
        <v/>
      </c>
    </row>
    <row r="102" spans="1:29" ht="15" customHeight="1">
      <c r="A102" s="2"/>
      <c r="B102" s="67" t="str">
        <f>[1]!ArticleCode(Art_71.30.)</f>
        <v>71.30.</v>
      </c>
      <c r="C102" s="68" t="str">
        <f>[1]!ArticleDescription(Art_71.30.)</f>
        <v>schakelaars - algemeen</v>
      </c>
      <c r="D102" s="57"/>
      <c r="E102" s="57"/>
      <c r="F102" s="57"/>
      <c r="G102" s="57"/>
      <c r="H102" s="59"/>
      <c r="I102" s="59"/>
      <c r="J102" s="60"/>
      <c r="K102" s="61"/>
      <c r="L102" s="62"/>
      <c r="M102" s="57"/>
      <c r="N102" s="63"/>
      <c r="O102" s="59">
        <f t="shared" si="20"/>
        <v>0</v>
      </c>
      <c r="P102" s="64" t="str">
        <f t="shared" si="21"/>
        <v/>
      </c>
      <c r="Q102" s="65" t="str">
        <f t="shared" si="22"/>
        <v/>
      </c>
      <c r="R102" s="62"/>
      <c r="S102" s="57"/>
      <c r="T102" s="63"/>
      <c r="U102" s="59">
        <f t="shared" si="23"/>
        <v>0</v>
      </c>
      <c r="V102" s="64" t="str">
        <f t="shared" si="24"/>
        <v/>
      </c>
      <c r="W102" s="65" t="str">
        <f t="shared" si="25"/>
        <v/>
      </c>
      <c r="X102" s="62"/>
      <c r="Y102" s="57"/>
      <c r="Z102" s="63"/>
      <c r="AA102" s="59">
        <f t="shared" si="26"/>
        <v>0</v>
      </c>
      <c r="AB102" s="64" t="str">
        <f t="shared" si="27"/>
        <v/>
      </c>
      <c r="AC102" s="65" t="str">
        <f t="shared" si="28"/>
        <v/>
      </c>
    </row>
    <row r="103" spans="1:29" ht="15" customHeight="1">
      <c r="A103" s="2">
        <f>A101+1</f>
        <v>43</v>
      </c>
      <c r="B103" s="67" t="str">
        <f>[1]!ArticleCode(Art_71.36.)</f>
        <v>71.36.</v>
      </c>
      <c r="C103" s="68" t="str">
        <f>[1]!ArticleDescription(Art_71.36.)</f>
        <v>schakelaars- teleruptoren  (slijpwerken en kabels trekken excl)</v>
      </c>
      <c r="D103" s="57" t="str">
        <f>[1]!ArticleMeasureType(Art_71.36.)</f>
        <v>FH</v>
      </c>
      <c r="E103" s="57" t="str">
        <f>[1]!ArticleMeasureUnit(Art_71.36.)</f>
        <v>st</v>
      </c>
      <c r="F103" s="75">
        <f>[1]!ArticleQuantity(Art_71.36.)</f>
        <v>11</v>
      </c>
      <c r="G103" s="57"/>
      <c r="H103" s="59"/>
      <c r="I103" s="59">
        <f>IF(RIGHT($D103,1)="-","************",ROUND(IF(NOT(ISNUMBER(G103)),IF(NOT(ISNUMBER(F103)),1,F103),G103)*H103,2))</f>
        <v>0</v>
      </c>
      <c r="J103" s="60"/>
      <c r="K103" s="61"/>
      <c r="L103" s="62"/>
      <c r="M103" s="57"/>
      <c r="N103" s="63"/>
      <c r="O103" s="59">
        <f t="shared" si="20"/>
        <v>0</v>
      </c>
      <c r="P103" s="64" t="str">
        <f t="shared" si="21"/>
        <v/>
      </c>
      <c r="Q103" s="65" t="str">
        <f t="shared" si="22"/>
        <v/>
      </c>
      <c r="R103" s="62"/>
      <c r="S103" s="57"/>
      <c r="T103" s="63"/>
      <c r="U103" s="59">
        <f t="shared" si="23"/>
        <v>0</v>
      </c>
      <c r="V103" s="64" t="str">
        <f t="shared" si="24"/>
        <v/>
      </c>
      <c r="W103" s="65" t="str">
        <f t="shared" si="25"/>
        <v/>
      </c>
      <c r="X103" s="62"/>
      <c r="Y103" s="57"/>
      <c r="Z103" s="63"/>
      <c r="AA103" s="59">
        <f t="shared" si="26"/>
        <v>0</v>
      </c>
      <c r="AB103" s="64" t="str">
        <f t="shared" si="27"/>
        <v/>
      </c>
      <c r="AC103" s="65" t="str">
        <f t="shared" si="28"/>
        <v/>
      </c>
    </row>
    <row r="104" spans="1:29" ht="15" customHeight="1">
      <c r="A104" s="2">
        <f>A103+1</f>
        <v>44</v>
      </c>
      <c r="B104" s="67" t="str">
        <f>[1]!ArticleCode(Art_71.38.)</f>
        <v>71.38.</v>
      </c>
      <c r="C104" s="68" t="str">
        <f>[1]!ArticleDescription(Art_71.38.)</f>
        <v>schakelaars – all on/off  (slijpwerken en kabels trekken excl)</v>
      </c>
      <c r="D104" s="57" t="str">
        <f>[1]!ArticleMeasureType(Art_71.38.)</f>
        <v>FH</v>
      </c>
      <c r="E104" s="57" t="str">
        <f>[1]!ArticleMeasureUnit(Art_71.38.)</f>
        <v>st</v>
      </c>
      <c r="F104" s="75">
        <f>[1]!ArticleQuantity(Art_71.38.)</f>
        <v>2</v>
      </c>
      <c r="G104" s="57"/>
      <c r="H104" s="59"/>
      <c r="I104" s="59">
        <f>IF(RIGHT($D104,1)="-","************",ROUND(IF(NOT(ISNUMBER(G104)),IF(NOT(ISNUMBER(F104)),1,F104),G104)*H104,2))</f>
        <v>0</v>
      </c>
      <c r="J104" s="60"/>
      <c r="K104" s="61"/>
      <c r="L104" s="62"/>
      <c r="M104" s="57"/>
      <c r="N104" s="63"/>
      <c r="O104" s="59">
        <f t="shared" si="20"/>
        <v>0</v>
      </c>
      <c r="P104" s="64" t="str">
        <f t="shared" si="21"/>
        <v/>
      </c>
      <c r="Q104" s="65" t="str">
        <f t="shared" si="22"/>
        <v/>
      </c>
      <c r="R104" s="62"/>
      <c r="S104" s="57"/>
      <c r="T104" s="63"/>
      <c r="U104" s="59">
        <f t="shared" si="23"/>
        <v>0</v>
      </c>
      <c r="V104" s="64" t="str">
        <f t="shared" si="24"/>
        <v/>
      </c>
      <c r="W104" s="65" t="str">
        <f t="shared" si="25"/>
        <v/>
      </c>
      <c r="X104" s="62"/>
      <c r="Y104" s="57"/>
      <c r="Z104" s="63"/>
      <c r="AA104" s="59">
        <f t="shared" si="26"/>
        <v>0</v>
      </c>
      <c r="AB104" s="64" t="str">
        <f t="shared" si="27"/>
        <v/>
      </c>
      <c r="AC104" s="65" t="str">
        <f t="shared" si="28"/>
        <v/>
      </c>
    </row>
    <row r="105" spans="1:29" ht="15" customHeight="1">
      <c r="A105" s="2">
        <f>A104+1</f>
        <v>45</v>
      </c>
      <c r="B105" s="67" t="str">
        <f>[1]!ArticleCode(Art_71.39.)</f>
        <v>71.39.</v>
      </c>
      <c r="C105" s="68" t="str">
        <f>[1]!ArticleDescription(Art_71.39.)</f>
        <v>schakelaars – voor voeding stopcontacten  (slijpwerken en kabels trekken excl)</v>
      </c>
      <c r="D105" s="57" t="str">
        <f>[1]!ArticleMeasureType(Art_71.39.)</f>
        <v>FH</v>
      </c>
      <c r="E105" s="57" t="str">
        <f>[1]!ArticleMeasureUnit(Art_71.39.)</f>
        <v>st</v>
      </c>
      <c r="F105" s="75">
        <f>[1]!ArticleQuantity(Art_71.39.)</f>
        <v>2</v>
      </c>
      <c r="G105" s="57"/>
      <c r="H105" s="59"/>
      <c r="I105" s="59">
        <f>IF(RIGHT($D105,1)="-","************",ROUND(IF(NOT(ISNUMBER(G105)),IF(NOT(ISNUMBER(F105)),1,F105),G105)*H105,2))</f>
        <v>0</v>
      </c>
      <c r="J105" s="60"/>
      <c r="K105" s="61"/>
      <c r="L105" s="62"/>
      <c r="M105" s="57"/>
      <c r="N105" s="63"/>
      <c r="O105" s="59">
        <f t="shared" ref="O105:O136" si="29">IF(MID($D105,3,1)="-","*********",ROUND(IF(NOT(ISNUMBER($G105)),IF(NOT(ISNUMBER($F105)),1,$F105),$G105)*(IF(NOT(ISNUMBER(N105)),L105,N105)),2))</f>
        <v>0</v>
      </c>
      <c r="P105" s="64" t="str">
        <f t="shared" ref="P105:P136" si="30">IF(O$164=0,"",O105/O$164)</f>
        <v/>
      </c>
      <c r="Q105" s="65" t="str">
        <f t="shared" ref="Q105:Q136" si="31">IF($K105=0,"",IF(NOT(ISNUMBER(N105)),L105,N105)/$K105-1)</f>
        <v/>
      </c>
      <c r="R105" s="62"/>
      <c r="S105" s="57"/>
      <c r="T105" s="63"/>
      <c r="U105" s="59">
        <f t="shared" ref="U105:U136" si="32">IF(MID($D105,3,1)="-","*********",ROUND(IF(NOT(ISNUMBER($G105)),IF(NOT(ISNUMBER($F105)),1,$F105),$G105)*(IF(NOT(ISNUMBER(T105)),R105,T105)),2))</f>
        <v>0</v>
      </c>
      <c r="V105" s="64" t="str">
        <f t="shared" ref="V105:V136" si="33">IF(U$164=0,"",U105/U$164)</f>
        <v/>
      </c>
      <c r="W105" s="65" t="str">
        <f t="shared" ref="W105:W136" si="34">IF($K105=0,"",IF(NOT(ISNUMBER(T105)),R105,T105)/$K105-1)</f>
        <v/>
      </c>
      <c r="X105" s="62"/>
      <c r="Y105" s="57"/>
      <c r="Z105" s="63"/>
      <c r="AA105" s="59">
        <f t="shared" ref="AA105:AA136" si="35">IF(MID($D105,3,1)="-","*********",ROUND(IF(NOT(ISNUMBER($G105)),IF(NOT(ISNUMBER($F105)),1,$F105),$G105)*(IF(NOT(ISNUMBER(Z105)),X105,Z105)),2))</f>
        <v>0</v>
      </c>
      <c r="AB105" s="64" t="str">
        <f t="shared" ref="AB105:AB136" si="36">IF(AA$164=0,"",AA105/AA$164)</f>
        <v/>
      </c>
      <c r="AC105" s="65" t="str">
        <f t="shared" ref="AC105:AC136" si="37">IF($K105=0,"",IF(NOT(ISNUMBER(Z105)),X105,Z105)/$K105-1)</f>
        <v/>
      </c>
    </row>
    <row r="106" spans="1:29" ht="15" customHeight="1">
      <c r="A106" s="2"/>
      <c r="B106" s="67" t="str">
        <f>[1]!ArticleCode(Art_71.40.)</f>
        <v>71.40.</v>
      </c>
      <c r="C106" s="68" t="str">
        <f>[1]!ArticleDescription(Art_71.40.)</f>
        <v>speciale toebehoren - algemeen</v>
      </c>
      <c r="D106" s="57"/>
      <c r="E106" s="57"/>
      <c r="F106" s="57"/>
      <c r="G106" s="57"/>
      <c r="H106" s="59"/>
      <c r="I106" s="59"/>
      <c r="J106" s="60"/>
      <c r="K106" s="61"/>
      <c r="L106" s="62"/>
      <c r="M106" s="57"/>
      <c r="N106" s="63"/>
      <c r="O106" s="59">
        <f t="shared" si="29"/>
        <v>0</v>
      </c>
      <c r="P106" s="64" t="str">
        <f t="shared" si="30"/>
        <v/>
      </c>
      <c r="Q106" s="65" t="str">
        <f t="shared" si="31"/>
        <v/>
      </c>
      <c r="R106" s="62"/>
      <c r="S106" s="57"/>
      <c r="T106" s="63"/>
      <c r="U106" s="59">
        <f t="shared" si="32"/>
        <v>0</v>
      </c>
      <c r="V106" s="64" t="str">
        <f t="shared" si="33"/>
        <v/>
      </c>
      <c r="W106" s="65" t="str">
        <f t="shared" si="34"/>
        <v/>
      </c>
      <c r="X106" s="62"/>
      <c r="Y106" s="57"/>
      <c r="Z106" s="63"/>
      <c r="AA106" s="59">
        <f t="shared" si="35"/>
        <v>0</v>
      </c>
      <c r="AB106" s="64" t="str">
        <f t="shared" si="36"/>
        <v/>
      </c>
      <c r="AC106" s="65" t="str">
        <f t="shared" si="37"/>
        <v/>
      </c>
    </row>
    <row r="107" spans="1:29" ht="15" customHeight="1">
      <c r="A107" s="2">
        <f>A105+1</f>
        <v>46</v>
      </c>
      <c r="B107" s="67" t="str">
        <f>[1]!ArticleCode(Art_71.41.01)</f>
        <v>71.41.01</v>
      </c>
      <c r="C107" s="68" t="str">
        <f>[1]!ArticleDescription(Art_71.41.01)</f>
        <v>speciale toebehoren – afwezigheidsdetectoren PIR  (slijpwerken en kabels trekken excl)</v>
      </c>
      <c r="D107" s="57" t="str">
        <f>[1]!ArticleMeasureType(Art_71.41.01)</f>
        <v>FH</v>
      </c>
      <c r="E107" s="57" t="str">
        <f>[1]!ArticleMeasureUnit(Art_71.41.01)</f>
        <v>st</v>
      </c>
      <c r="F107" s="75">
        <f>[1]!ArticleQuantity(Art_71.41.01)</f>
        <v>7</v>
      </c>
      <c r="G107" s="57"/>
      <c r="H107" s="59"/>
      <c r="I107" s="59">
        <f>IF(RIGHT($D107,1)="-","************",ROUND(IF(NOT(ISNUMBER(G107)),IF(NOT(ISNUMBER(F107)),1,F107),G107)*H107,2))</f>
        <v>0</v>
      </c>
      <c r="J107" s="60"/>
      <c r="K107" s="61"/>
      <c r="L107" s="62"/>
      <c r="M107" s="57"/>
      <c r="N107" s="63"/>
      <c r="O107" s="59">
        <f t="shared" si="29"/>
        <v>0</v>
      </c>
      <c r="P107" s="64" t="str">
        <f t="shared" si="30"/>
        <v/>
      </c>
      <c r="Q107" s="65" t="str">
        <f t="shared" si="31"/>
        <v/>
      </c>
      <c r="R107" s="62"/>
      <c r="S107" s="57"/>
      <c r="T107" s="63"/>
      <c r="U107" s="59">
        <f t="shared" si="32"/>
        <v>0</v>
      </c>
      <c r="V107" s="64" t="str">
        <f t="shared" si="33"/>
        <v/>
      </c>
      <c r="W107" s="65" t="str">
        <f t="shared" si="34"/>
        <v/>
      </c>
      <c r="X107" s="62"/>
      <c r="Y107" s="57"/>
      <c r="Z107" s="63"/>
      <c r="AA107" s="59">
        <f t="shared" si="35"/>
        <v>0</v>
      </c>
      <c r="AB107" s="64" t="str">
        <f t="shared" si="36"/>
        <v/>
      </c>
      <c r="AC107" s="65" t="str">
        <f t="shared" si="37"/>
        <v/>
      </c>
    </row>
    <row r="108" spans="1:29" ht="15" customHeight="1">
      <c r="A108" s="2">
        <f>A107+1</f>
        <v>47</v>
      </c>
      <c r="B108" s="67" t="str">
        <f>[1]!ArticleCode(Art_71.41.02)</f>
        <v>71.41.02</v>
      </c>
      <c r="C108" s="68" t="str">
        <f>[1]!ArticleDescription(Art_71.41.02)</f>
        <v>speciale toebehoren - bewegingsdetectoren  (slijpwerken en kabels trekken excl)</v>
      </c>
      <c r="D108" s="57" t="str">
        <f>[1]!ArticleMeasureType(Art_71.41.02)</f>
        <v>FH</v>
      </c>
      <c r="E108" s="57" t="str">
        <f>[1]!ArticleMeasureUnit(Art_71.41.02)</f>
        <v>st</v>
      </c>
      <c r="F108" s="75">
        <f>[1]!ArticleQuantity(Art_71.41.02)</f>
        <v>27</v>
      </c>
      <c r="G108" s="57"/>
      <c r="H108" s="59"/>
      <c r="I108" s="59">
        <f>IF(RIGHT($D108,1)="-","************",ROUND(IF(NOT(ISNUMBER(G108)),IF(NOT(ISNUMBER(F108)),1,F108),G108)*H108,2))</f>
        <v>0</v>
      </c>
      <c r="J108" s="60"/>
      <c r="K108" s="61"/>
      <c r="L108" s="62"/>
      <c r="M108" s="57"/>
      <c r="N108" s="63"/>
      <c r="O108" s="59">
        <f t="shared" si="29"/>
        <v>0</v>
      </c>
      <c r="P108" s="64" t="str">
        <f t="shared" si="30"/>
        <v/>
      </c>
      <c r="Q108" s="65" t="str">
        <f t="shared" si="31"/>
        <v/>
      </c>
      <c r="R108" s="62"/>
      <c r="S108" s="57"/>
      <c r="T108" s="63"/>
      <c r="U108" s="59">
        <f t="shared" si="32"/>
        <v>0</v>
      </c>
      <c r="V108" s="64" t="str">
        <f t="shared" si="33"/>
        <v/>
      </c>
      <c r="W108" s="65" t="str">
        <f t="shared" si="34"/>
        <v/>
      </c>
      <c r="X108" s="62"/>
      <c r="Y108" s="57"/>
      <c r="Z108" s="63"/>
      <c r="AA108" s="59">
        <f t="shared" si="35"/>
        <v>0</v>
      </c>
      <c r="AB108" s="64" t="str">
        <f t="shared" si="36"/>
        <v/>
      </c>
      <c r="AC108" s="65" t="str">
        <f t="shared" si="37"/>
        <v/>
      </c>
    </row>
    <row r="109" spans="1:29" ht="15" customHeight="1">
      <c r="A109" s="2">
        <f>A108+1</f>
        <v>48</v>
      </c>
      <c r="B109" s="67" t="str">
        <f>[1]!ArticleCode(Art_71.43.)</f>
        <v>71.43.</v>
      </c>
      <c r="C109" s="68" t="str">
        <f>[1]!ArticleDescription(Art_71.43.)</f>
        <v>speciale toebehoren - schemerschakelaar -astroklok in bord</v>
      </c>
      <c r="D109" s="57" t="str">
        <f>[1]!ArticleMeasureType(Art_71.43.)</f>
        <v>FH</v>
      </c>
      <c r="E109" s="57" t="str">
        <f>[1]!ArticleMeasureUnit(Art_71.43.)</f>
        <v>st</v>
      </c>
      <c r="F109" s="75">
        <f>[1]!ArticleQuantity(Art_71.43.)</f>
        <v>1</v>
      </c>
      <c r="G109" s="57"/>
      <c r="H109" s="59"/>
      <c r="I109" s="59">
        <f>IF(RIGHT($D109,1)="-","************",ROUND(IF(NOT(ISNUMBER(G109)),IF(NOT(ISNUMBER(F109)),1,F109),G109)*H109,2))</f>
        <v>0</v>
      </c>
      <c r="J109" s="60"/>
      <c r="K109" s="61"/>
      <c r="L109" s="62"/>
      <c r="M109" s="57"/>
      <c r="N109" s="63"/>
      <c r="O109" s="59">
        <f t="shared" si="29"/>
        <v>0</v>
      </c>
      <c r="P109" s="64" t="str">
        <f t="shared" si="30"/>
        <v/>
      </c>
      <c r="Q109" s="65" t="str">
        <f t="shared" si="31"/>
        <v/>
      </c>
      <c r="R109" s="62"/>
      <c r="S109" s="57"/>
      <c r="T109" s="63"/>
      <c r="U109" s="59">
        <f t="shared" si="32"/>
        <v>0</v>
      </c>
      <c r="V109" s="64" t="str">
        <f t="shared" si="33"/>
        <v/>
      </c>
      <c r="W109" s="65" t="str">
        <f t="shared" si="34"/>
        <v/>
      </c>
      <c r="X109" s="62"/>
      <c r="Y109" s="57"/>
      <c r="Z109" s="63"/>
      <c r="AA109" s="59">
        <f t="shared" si="35"/>
        <v>0</v>
      </c>
      <c r="AB109" s="64" t="str">
        <f t="shared" si="36"/>
        <v/>
      </c>
      <c r="AC109" s="65" t="str">
        <f t="shared" si="37"/>
        <v/>
      </c>
    </row>
    <row r="110" spans="1:29" ht="15" customHeight="1">
      <c r="A110" s="2"/>
      <c r="B110" s="69"/>
      <c r="C110" s="70"/>
      <c r="D110" s="71"/>
      <c r="E110" s="70"/>
      <c r="F110" s="70"/>
      <c r="G110" s="70"/>
      <c r="H110" s="72"/>
      <c r="I110" s="72"/>
      <c r="J110" s="73">
        <f>SUBTOTAL(9,I94:I109)</f>
        <v>0</v>
      </c>
      <c r="K110" s="61"/>
      <c r="L110" s="62"/>
      <c r="M110" s="57"/>
      <c r="N110" s="63"/>
      <c r="O110" s="59">
        <f t="shared" si="29"/>
        <v>0</v>
      </c>
      <c r="P110" s="64" t="str">
        <f t="shared" si="30"/>
        <v/>
      </c>
      <c r="Q110" s="65" t="str">
        <f t="shared" si="31"/>
        <v/>
      </c>
      <c r="R110" s="62"/>
      <c r="S110" s="57"/>
      <c r="T110" s="63"/>
      <c r="U110" s="59">
        <f t="shared" si="32"/>
        <v>0</v>
      </c>
      <c r="V110" s="64" t="str">
        <f t="shared" si="33"/>
        <v/>
      </c>
      <c r="W110" s="65" t="str">
        <f t="shared" si="34"/>
        <v/>
      </c>
      <c r="X110" s="62"/>
      <c r="Y110" s="57"/>
      <c r="Z110" s="63"/>
      <c r="AA110" s="59">
        <f t="shared" si="35"/>
        <v>0</v>
      </c>
      <c r="AB110" s="64" t="str">
        <f t="shared" si="36"/>
        <v/>
      </c>
      <c r="AC110" s="65" t="str">
        <f t="shared" si="37"/>
        <v/>
      </c>
    </row>
    <row r="111" spans="1:29" ht="15" customHeight="1">
      <c r="A111" s="2"/>
      <c r="B111" s="74"/>
      <c r="C111" s="57"/>
      <c r="D111" s="57"/>
      <c r="E111" s="57"/>
      <c r="F111" s="57"/>
      <c r="G111" s="57"/>
      <c r="H111" s="59"/>
      <c r="I111" s="59"/>
      <c r="J111" s="60"/>
      <c r="K111" s="61"/>
      <c r="L111" s="62"/>
      <c r="M111" s="57"/>
      <c r="N111" s="63"/>
      <c r="O111" s="59">
        <f t="shared" si="29"/>
        <v>0</v>
      </c>
      <c r="P111" s="64" t="str">
        <f t="shared" si="30"/>
        <v/>
      </c>
      <c r="Q111" s="65" t="str">
        <f t="shared" si="31"/>
        <v/>
      </c>
      <c r="R111" s="62"/>
      <c r="S111" s="57"/>
      <c r="T111" s="63"/>
      <c r="U111" s="59">
        <f t="shared" si="32"/>
        <v>0</v>
      </c>
      <c r="V111" s="64" t="str">
        <f t="shared" si="33"/>
        <v/>
      </c>
      <c r="W111" s="65" t="str">
        <f t="shared" si="34"/>
        <v/>
      </c>
      <c r="X111" s="62"/>
      <c r="Y111" s="57"/>
      <c r="Z111" s="63"/>
      <c r="AA111" s="59">
        <f t="shared" si="35"/>
        <v>0</v>
      </c>
      <c r="AB111" s="64" t="str">
        <f t="shared" si="36"/>
        <v/>
      </c>
      <c r="AC111" s="65" t="str">
        <f t="shared" si="37"/>
        <v/>
      </c>
    </row>
    <row r="112" spans="1:29" ht="15" customHeight="1">
      <c r="A112" s="2"/>
      <c r="B112" s="56" t="s">
        <v>312</v>
      </c>
      <c r="C112" s="57"/>
      <c r="D112" s="58"/>
      <c r="E112" s="57"/>
      <c r="F112" s="57"/>
      <c r="G112" s="57"/>
      <c r="H112" s="59"/>
      <c r="I112" s="59"/>
      <c r="J112" s="60"/>
      <c r="K112" s="61"/>
      <c r="L112" s="62"/>
      <c r="M112" s="57"/>
      <c r="N112" s="63"/>
      <c r="O112" s="59">
        <f t="shared" si="29"/>
        <v>0</v>
      </c>
      <c r="P112" s="64" t="str">
        <f t="shared" si="30"/>
        <v/>
      </c>
      <c r="Q112" s="65" t="str">
        <f t="shared" si="31"/>
        <v/>
      </c>
      <c r="R112" s="62"/>
      <c r="S112" s="57"/>
      <c r="T112" s="63"/>
      <c r="U112" s="59">
        <f t="shared" si="32"/>
        <v>0</v>
      </c>
      <c r="V112" s="64" t="str">
        <f t="shared" si="33"/>
        <v/>
      </c>
      <c r="W112" s="65" t="str">
        <f t="shared" si="34"/>
        <v/>
      </c>
      <c r="X112" s="62"/>
      <c r="Y112" s="57"/>
      <c r="Z112" s="63"/>
      <c r="AA112" s="59">
        <f t="shared" si="35"/>
        <v>0</v>
      </c>
      <c r="AB112" s="64" t="str">
        <f t="shared" si="36"/>
        <v/>
      </c>
      <c r="AC112" s="65" t="str">
        <f t="shared" si="37"/>
        <v/>
      </c>
    </row>
    <row r="113" spans="1:29" ht="15" customHeight="1">
      <c r="A113" s="2"/>
      <c r="B113" s="67" t="str">
        <f>[1]!ArticleCode(Art_72.)</f>
        <v>72.</v>
      </c>
      <c r="C113" s="68" t="str">
        <f>[1]!ArticleDescription(Art_72.)</f>
        <v>ELEKTRICITEIT LICHTARMATUREN</v>
      </c>
      <c r="D113" s="57"/>
      <c r="E113" s="57"/>
      <c r="F113" s="57"/>
      <c r="G113" s="57"/>
      <c r="H113" s="59"/>
      <c r="I113" s="59"/>
      <c r="J113" s="60"/>
      <c r="K113" s="61"/>
      <c r="L113" s="62"/>
      <c r="M113" s="57"/>
      <c r="N113" s="63"/>
      <c r="O113" s="59">
        <f t="shared" si="29"/>
        <v>0</v>
      </c>
      <c r="P113" s="64" t="str">
        <f t="shared" si="30"/>
        <v/>
      </c>
      <c r="Q113" s="65" t="str">
        <f t="shared" si="31"/>
        <v/>
      </c>
      <c r="R113" s="62"/>
      <c r="S113" s="57"/>
      <c r="T113" s="63"/>
      <c r="U113" s="59">
        <f t="shared" si="32"/>
        <v>0</v>
      </c>
      <c r="V113" s="64" t="str">
        <f t="shared" si="33"/>
        <v/>
      </c>
      <c r="W113" s="65" t="str">
        <f t="shared" si="34"/>
        <v/>
      </c>
      <c r="X113" s="62"/>
      <c r="Y113" s="57"/>
      <c r="Z113" s="63"/>
      <c r="AA113" s="59">
        <f t="shared" si="35"/>
        <v>0</v>
      </c>
      <c r="AB113" s="64" t="str">
        <f t="shared" si="36"/>
        <v/>
      </c>
      <c r="AC113" s="65" t="str">
        <f t="shared" si="37"/>
        <v/>
      </c>
    </row>
    <row r="114" spans="1:29" ht="15" customHeight="1">
      <c r="A114" s="2"/>
      <c r="B114" s="67" t="str">
        <f>[1]!ArticleCode(Art_72.00.)</f>
        <v>72.00.</v>
      </c>
      <c r="C114" s="68" t="str">
        <f>[1]!ArticleDescription(Art_72.00.)</f>
        <v>elektriciteit lichtarmaturen - algemeen</v>
      </c>
      <c r="D114" s="57"/>
      <c r="E114" s="57"/>
      <c r="F114" s="57"/>
      <c r="G114" s="57"/>
      <c r="H114" s="59"/>
      <c r="I114" s="59"/>
      <c r="J114" s="60"/>
      <c r="K114" s="61"/>
      <c r="L114" s="62"/>
      <c r="M114" s="57"/>
      <c r="N114" s="63"/>
      <c r="O114" s="59">
        <f t="shared" si="29"/>
        <v>0</v>
      </c>
      <c r="P114" s="64" t="str">
        <f t="shared" si="30"/>
        <v/>
      </c>
      <c r="Q114" s="65" t="str">
        <f t="shared" si="31"/>
        <v/>
      </c>
      <c r="R114" s="62"/>
      <c r="S114" s="57"/>
      <c r="T114" s="63"/>
      <c r="U114" s="59">
        <f t="shared" si="32"/>
        <v>0</v>
      </c>
      <c r="V114" s="64" t="str">
        <f t="shared" si="33"/>
        <v/>
      </c>
      <c r="W114" s="65" t="str">
        <f t="shared" si="34"/>
        <v/>
      </c>
      <c r="X114" s="62"/>
      <c r="Y114" s="57"/>
      <c r="Z114" s="63"/>
      <c r="AA114" s="59">
        <f t="shared" si="35"/>
        <v>0</v>
      </c>
      <c r="AB114" s="64" t="str">
        <f t="shared" si="36"/>
        <v/>
      </c>
      <c r="AC114" s="65" t="str">
        <f t="shared" si="37"/>
        <v/>
      </c>
    </row>
    <row r="115" spans="1:29" ht="15" customHeight="1">
      <c r="A115" s="2"/>
      <c r="B115" s="67" t="str">
        <f>[1]!ArticleCode(Art_72.10.)</f>
        <v>72.10.</v>
      </c>
      <c r="C115" s="68" t="str">
        <f>[1]!ArticleDescription(Art_72.10.)</f>
        <v>binnenarmaturen</v>
      </c>
      <c r="D115" s="57"/>
      <c r="E115" s="57"/>
      <c r="F115" s="57"/>
      <c r="G115" s="57"/>
      <c r="H115" s="59"/>
      <c r="I115" s="59"/>
      <c r="J115" s="60"/>
      <c r="K115" s="61"/>
      <c r="L115" s="62"/>
      <c r="M115" s="57"/>
      <c r="N115" s="63"/>
      <c r="O115" s="59">
        <f t="shared" si="29"/>
        <v>0</v>
      </c>
      <c r="P115" s="64" t="str">
        <f t="shared" si="30"/>
        <v/>
      </c>
      <c r="Q115" s="65" t="str">
        <f t="shared" si="31"/>
        <v/>
      </c>
      <c r="R115" s="62"/>
      <c r="S115" s="57"/>
      <c r="T115" s="63"/>
      <c r="U115" s="59">
        <f t="shared" si="32"/>
        <v>0</v>
      </c>
      <c r="V115" s="64" t="str">
        <f t="shared" si="33"/>
        <v/>
      </c>
      <c r="W115" s="65" t="str">
        <f t="shared" si="34"/>
        <v/>
      </c>
      <c r="X115" s="62"/>
      <c r="Y115" s="57"/>
      <c r="Z115" s="63"/>
      <c r="AA115" s="59">
        <f t="shared" si="35"/>
        <v>0</v>
      </c>
      <c r="AB115" s="64" t="str">
        <f t="shared" si="36"/>
        <v/>
      </c>
      <c r="AC115" s="65" t="str">
        <f t="shared" si="37"/>
        <v/>
      </c>
    </row>
    <row r="116" spans="1:29" ht="15" customHeight="1">
      <c r="A116" s="2">
        <f>A109+1</f>
        <v>49</v>
      </c>
      <c r="B116" s="67" t="str">
        <f>[1]!ArticleCode(Art_72.11.)</f>
        <v>72.11.</v>
      </c>
      <c r="C116" s="68" t="str">
        <f>[1]!ArticleDescription(Art_72.11.)</f>
        <v xml:space="preserve">Type A – LED – opbouwarmatuur rechthoekig plafondmontage </v>
      </c>
      <c r="D116" s="57" t="str">
        <f>[1]!ArticleMeasureType(Art_72.11.)</f>
        <v>FH</v>
      </c>
      <c r="E116" s="57" t="str">
        <f>[1]!ArticleMeasureUnit(Art_72.11.)</f>
        <v>st</v>
      </c>
      <c r="F116" s="75">
        <f>[1]!ArticleQuantity(Art_72.11.)</f>
        <v>24</v>
      </c>
      <c r="G116" s="57"/>
      <c r="H116" s="59"/>
      <c r="I116" s="59">
        <f>IF(RIGHT($D116,1)="-","************",ROUND(IF(NOT(ISNUMBER(G116)),IF(NOT(ISNUMBER(F116)),1,F116),G116)*H116,2))</f>
        <v>0</v>
      </c>
      <c r="J116" s="60"/>
      <c r="K116" s="61"/>
      <c r="L116" s="62"/>
      <c r="M116" s="57"/>
      <c r="N116" s="63"/>
      <c r="O116" s="59">
        <f t="shared" si="29"/>
        <v>0</v>
      </c>
      <c r="P116" s="64" t="str">
        <f t="shared" si="30"/>
        <v/>
      </c>
      <c r="Q116" s="65" t="str">
        <f t="shared" si="31"/>
        <v/>
      </c>
      <c r="R116" s="62"/>
      <c r="S116" s="57"/>
      <c r="T116" s="63"/>
      <c r="U116" s="59">
        <f t="shared" si="32"/>
        <v>0</v>
      </c>
      <c r="V116" s="64" t="str">
        <f t="shared" si="33"/>
        <v/>
      </c>
      <c r="W116" s="65" t="str">
        <f t="shared" si="34"/>
        <v/>
      </c>
      <c r="X116" s="62"/>
      <c r="Y116" s="57"/>
      <c r="Z116" s="63"/>
      <c r="AA116" s="59">
        <f t="shared" si="35"/>
        <v>0</v>
      </c>
      <c r="AB116" s="64" t="str">
        <f t="shared" si="36"/>
        <v/>
      </c>
      <c r="AC116" s="65" t="str">
        <f t="shared" si="37"/>
        <v/>
      </c>
    </row>
    <row r="117" spans="1:29" ht="15" customHeight="1">
      <c r="A117" s="2">
        <f>A116+1</f>
        <v>50</v>
      </c>
      <c r="B117" s="67" t="str">
        <f>[1]!ArticleCode(Art_72.12.)</f>
        <v>72.12.</v>
      </c>
      <c r="C117" s="68" t="str">
        <f>[1]!ArticleDescription(Art_72.12.)</f>
        <v>Type B– voedingspunt pendelarmatuur (te leveren door de jeugd zelf)</v>
      </c>
      <c r="D117" s="57" t="str">
        <f>[1]!ArticleMeasureType(Art_72.12.)</f>
        <v>FH</v>
      </c>
      <c r="E117" s="57" t="str">
        <f>[1]!ArticleMeasureUnit(Art_72.12.)</f>
        <v>st</v>
      </c>
      <c r="F117" s="75">
        <f>[1]!ArticleQuantity(Art_72.12.)</f>
        <v>7</v>
      </c>
      <c r="G117" s="57"/>
      <c r="H117" s="59"/>
      <c r="I117" s="59">
        <f>IF(RIGHT($D117,1)="-","************",ROUND(IF(NOT(ISNUMBER(G117)),IF(NOT(ISNUMBER(F117)),1,F117),G117)*H117,2))</f>
        <v>0</v>
      </c>
      <c r="J117" s="60"/>
      <c r="K117" s="61"/>
      <c r="L117" s="62"/>
      <c r="M117" s="57"/>
      <c r="N117" s="63"/>
      <c r="O117" s="59">
        <f t="shared" si="29"/>
        <v>0</v>
      </c>
      <c r="P117" s="64" t="str">
        <f t="shared" si="30"/>
        <v/>
      </c>
      <c r="Q117" s="65" t="str">
        <f t="shared" si="31"/>
        <v/>
      </c>
      <c r="R117" s="62"/>
      <c r="S117" s="57"/>
      <c r="T117" s="63"/>
      <c r="U117" s="59">
        <f t="shared" si="32"/>
        <v>0</v>
      </c>
      <c r="V117" s="64" t="str">
        <f t="shared" si="33"/>
        <v/>
      </c>
      <c r="W117" s="65" t="str">
        <f t="shared" si="34"/>
        <v/>
      </c>
      <c r="X117" s="62"/>
      <c r="Y117" s="57"/>
      <c r="Z117" s="63"/>
      <c r="AA117" s="59">
        <f t="shared" si="35"/>
        <v>0</v>
      </c>
      <c r="AB117" s="64" t="str">
        <f t="shared" si="36"/>
        <v/>
      </c>
      <c r="AC117" s="65" t="str">
        <f t="shared" si="37"/>
        <v/>
      </c>
    </row>
    <row r="118" spans="1:29" ht="15" customHeight="1">
      <c r="A118" s="2"/>
      <c r="B118" s="67" t="str">
        <f>[1]!ArticleCode(Art_72.30.)</f>
        <v>72.30.</v>
      </c>
      <c r="C118" s="68" t="str">
        <f>[1]!ArticleDescription(Art_72.30.)</f>
        <v>buitenarmaturen – algemeen</v>
      </c>
      <c r="D118" s="57"/>
      <c r="E118" s="57"/>
      <c r="F118" s="57"/>
      <c r="G118" s="57"/>
      <c r="H118" s="59"/>
      <c r="I118" s="59"/>
      <c r="J118" s="60"/>
      <c r="K118" s="61"/>
      <c r="L118" s="62"/>
      <c r="M118" s="57"/>
      <c r="N118" s="63"/>
      <c r="O118" s="59">
        <f t="shared" si="29"/>
        <v>0</v>
      </c>
      <c r="P118" s="64" t="str">
        <f t="shared" si="30"/>
        <v/>
      </c>
      <c r="Q118" s="65" t="str">
        <f t="shared" si="31"/>
        <v/>
      </c>
      <c r="R118" s="62"/>
      <c r="S118" s="57"/>
      <c r="T118" s="63"/>
      <c r="U118" s="59">
        <f t="shared" si="32"/>
        <v>0</v>
      </c>
      <c r="V118" s="64" t="str">
        <f t="shared" si="33"/>
        <v/>
      </c>
      <c r="W118" s="65" t="str">
        <f t="shared" si="34"/>
        <v/>
      </c>
      <c r="X118" s="62"/>
      <c r="Y118" s="57"/>
      <c r="Z118" s="63"/>
      <c r="AA118" s="59">
        <f t="shared" si="35"/>
        <v>0</v>
      </c>
      <c r="AB118" s="64" t="str">
        <f t="shared" si="36"/>
        <v/>
      </c>
      <c r="AC118" s="65" t="str">
        <f t="shared" si="37"/>
        <v/>
      </c>
    </row>
    <row r="119" spans="1:29" ht="15" customHeight="1">
      <c r="A119" s="2"/>
      <c r="B119" s="67" t="str">
        <f>[1]!ArticleCode(Art_72.31.)</f>
        <v>72.31.</v>
      </c>
      <c r="C119" s="68" t="str">
        <f>[1]!ArticleDescription(Art_72.31.)</f>
        <v>buitenarmaturen LED</v>
      </c>
      <c r="D119" s="57"/>
      <c r="E119" s="57"/>
      <c r="F119" s="57"/>
      <c r="G119" s="57"/>
      <c r="H119" s="59"/>
      <c r="I119" s="59"/>
      <c r="J119" s="60"/>
      <c r="K119" s="61"/>
      <c r="L119" s="62"/>
      <c r="M119" s="57"/>
      <c r="N119" s="63"/>
      <c r="O119" s="59">
        <f t="shared" si="29"/>
        <v>0</v>
      </c>
      <c r="P119" s="64" t="str">
        <f t="shared" si="30"/>
        <v/>
      </c>
      <c r="Q119" s="65" t="str">
        <f t="shared" si="31"/>
        <v/>
      </c>
      <c r="R119" s="62"/>
      <c r="S119" s="57"/>
      <c r="T119" s="63"/>
      <c r="U119" s="59">
        <f t="shared" si="32"/>
        <v>0</v>
      </c>
      <c r="V119" s="64" t="str">
        <f t="shared" si="33"/>
        <v/>
      </c>
      <c r="W119" s="65" t="str">
        <f t="shared" si="34"/>
        <v/>
      </c>
      <c r="X119" s="62"/>
      <c r="Y119" s="57"/>
      <c r="Z119" s="63"/>
      <c r="AA119" s="59">
        <f t="shared" si="35"/>
        <v>0</v>
      </c>
      <c r="AB119" s="64" t="str">
        <f t="shared" si="36"/>
        <v/>
      </c>
      <c r="AC119" s="65" t="str">
        <f t="shared" si="37"/>
        <v/>
      </c>
    </row>
    <row r="120" spans="1:29" ht="15" customHeight="1">
      <c r="A120" s="2">
        <f>A117+1</f>
        <v>51</v>
      </c>
      <c r="B120" s="67" t="str">
        <f>[1]!ArticleCode(Art_72.31.01.)</f>
        <v>72.31.01.</v>
      </c>
      <c r="C120" s="68" t="str">
        <f>[1]!ArticleDescription(Art_72.31.01.)</f>
        <v xml:space="preserve">Type C – buitenarmaturen LED – wand opbouw </v>
      </c>
      <c r="D120" s="57" t="str">
        <f>[1]!ArticleMeasureType(Art_72.31.01.)</f>
        <v>FH</v>
      </c>
      <c r="E120" s="57" t="str">
        <f>[1]!ArticleMeasureUnit(Art_72.31.01.)</f>
        <v>st</v>
      </c>
      <c r="F120" s="75">
        <f>[1]!ArticleQuantity(Art_72.31.01.)</f>
        <v>2</v>
      </c>
      <c r="G120" s="57"/>
      <c r="H120" s="59"/>
      <c r="I120" s="59">
        <f>IF(RIGHT($D120,1)="-","************",ROUND(IF(NOT(ISNUMBER(G120)),IF(NOT(ISNUMBER(F120)),1,F120),G120)*H120,2))</f>
        <v>0</v>
      </c>
      <c r="J120" s="60"/>
      <c r="K120" s="61"/>
      <c r="L120" s="62"/>
      <c r="M120" s="57"/>
      <c r="N120" s="63"/>
      <c r="O120" s="59">
        <f t="shared" si="29"/>
        <v>0</v>
      </c>
      <c r="P120" s="64" t="str">
        <f t="shared" si="30"/>
        <v/>
      </c>
      <c r="Q120" s="65" t="str">
        <f t="shared" si="31"/>
        <v/>
      </c>
      <c r="R120" s="62"/>
      <c r="S120" s="57"/>
      <c r="T120" s="63"/>
      <c r="U120" s="59">
        <f t="shared" si="32"/>
        <v>0</v>
      </c>
      <c r="V120" s="64" t="str">
        <f t="shared" si="33"/>
        <v/>
      </c>
      <c r="W120" s="65" t="str">
        <f t="shared" si="34"/>
        <v/>
      </c>
      <c r="X120" s="62"/>
      <c r="Y120" s="57"/>
      <c r="Z120" s="63"/>
      <c r="AA120" s="59">
        <f t="shared" si="35"/>
        <v>0</v>
      </c>
      <c r="AB120" s="64" t="str">
        <f t="shared" si="36"/>
        <v/>
      </c>
      <c r="AC120" s="65" t="str">
        <f t="shared" si="37"/>
        <v/>
      </c>
    </row>
    <row r="121" spans="1:29" ht="15" customHeight="1">
      <c r="A121" s="2">
        <f>A120+1</f>
        <v>52</v>
      </c>
      <c r="B121" s="67" t="str">
        <f>[1]!ArticleCode(Art_72.31.02.)</f>
        <v>72.31.02.</v>
      </c>
      <c r="C121" s="68" t="str">
        <f>[1]!ArticleDescription(Art_72.31.02.)</f>
        <v xml:space="preserve">Type D – buitenarmaturen LED – opbouwarmatuur rechthoekig plafondmontage </v>
      </c>
      <c r="D121" s="57" t="str">
        <f>[1]!ArticleMeasureType(Art_72.31.02.)</f>
        <v>FH</v>
      </c>
      <c r="E121" s="57" t="str">
        <f>[1]!ArticleMeasureUnit(Art_72.31.02.)</f>
        <v>st</v>
      </c>
      <c r="F121" s="75">
        <f>[1]!ArticleQuantity(Art_72.31.02.)</f>
        <v>2</v>
      </c>
      <c r="G121" s="57"/>
      <c r="H121" s="59"/>
      <c r="I121" s="59">
        <f>IF(RIGHT($D121,1)="-","************",ROUND(IF(NOT(ISNUMBER(G121)),IF(NOT(ISNUMBER(F121)),1,F121),G121)*H121,2))</f>
        <v>0</v>
      </c>
      <c r="J121" s="60"/>
      <c r="K121" s="61"/>
      <c r="L121" s="62"/>
      <c r="M121" s="57"/>
      <c r="N121" s="63"/>
      <c r="O121" s="59">
        <f t="shared" si="29"/>
        <v>0</v>
      </c>
      <c r="P121" s="64" t="str">
        <f t="shared" si="30"/>
        <v/>
      </c>
      <c r="Q121" s="65" t="str">
        <f t="shared" si="31"/>
        <v/>
      </c>
      <c r="R121" s="62"/>
      <c r="S121" s="57"/>
      <c r="T121" s="63"/>
      <c r="U121" s="59">
        <f t="shared" si="32"/>
        <v>0</v>
      </c>
      <c r="V121" s="64" t="str">
        <f t="shared" si="33"/>
        <v/>
      </c>
      <c r="W121" s="65" t="str">
        <f t="shared" si="34"/>
        <v/>
      </c>
      <c r="X121" s="62"/>
      <c r="Y121" s="57"/>
      <c r="Z121" s="63"/>
      <c r="AA121" s="59">
        <f t="shared" si="35"/>
        <v>0</v>
      </c>
      <c r="AB121" s="64" t="str">
        <f t="shared" si="36"/>
        <v/>
      </c>
      <c r="AC121" s="65" t="str">
        <f t="shared" si="37"/>
        <v/>
      </c>
    </row>
    <row r="122" spans="1:29" ht="15" customHeight="1">
      <c r="A122" s="2">
        <f>A121+1</f>
        <v>53</v>
      </c>
      <c r="B122" s="67" t="str">
        <f>[1]!ArticleCode(Art_72.31.04.)</f>
        <v>72.31.04.</v>
      </c>
      <c r="C122" s="68" t="str">
        <f>[1]!ArticleDescription(Art_72.31.04.)</f>
        <v>Type E – buitenarmaturen LED – flexibele strip (optioneel)</v>
      </c>
      <c r="D122" s="57" t="str">
        <f>[1]!ArticleMeasureType(Art_72.31.04.)</f>
        <v>EH</v>
      </c>
      <c r="E122" s="57" t="str">
        <f>[1]!ArticleMeasureUnit(Art_72.31.04.)</f>
        <v>m</v>
      </c>
      <c r="F122" s="76">
        <f>[1]!ArticleQuantity(Art_72.31.04.)</f>
        <v>48.29</v>
      </c>
      <c r="G122" s="57"/>
      <c r="H122" s="59"/>
      <c r="I122" s="59">
        <f>IF(RIGHT($D122,1)="-","************",ROUND(IF(NOT(ISNUMBER(G122)),IF(NOT(ISNUMBER(F122)),1,F122),G122)*H122,2))</f>
        <v>0</v>
      </c>
      <c r="J122" s="60"/>
      <c r="K122" s="61"/>
      <c r="L122" s="62"/>
      <c r="M122" s="57"/>
      <c r="N122" s="63"/>
      <c r="O122" s="59">
        <f t="shared" si="29"/>
        <v>0</v>
      </c>
      <c r="P122" s="64" t="str">
        <f t="shared" si="30"/>
        <v/>
      </c>
      <c r="Q122" s="65" t="str">
        <f t="shared" si="31"/>
        <v/>
      </c>
      <c r="R122" s="62"/>
      <c r="S122" s="57"/>
      <c r="T122" s="63"/>
      <c r="U122" s="59">
        <f t="shared" si="32"/>
        <v>0</v>
      </c>
      <c r="V122" s="64" t="str">
        <f t="shared" si="33"/>
        <v/>
      </c>
      <c r="W122" s="65" t="str">
        <f t="shared" si="34"/>
        <v/>
      </c>
      <c r="X122" s="62"/>
      <c r="Y122" s="57"/>
      <c r="Z122" s="63"/>
      <c r="AA122" s="59">
        <f t="shared" si="35"/>
        <v>0</v>
      </c>
      <c r="AB122" s="64" t="str">
        <f t="shared" si="36"/>
        <v/>
      </c>
      <c r="AC122" s="65" t="str">
        <f t="shared" si="37"/>
        <v/>
      </c>
    </row>
    <row r="123" spans="1:29" ht="15" customHeight="1">
      <c r="A123" s="2"/>
      <c r="B123" s="67" t="str">
        <f>[1]!ArticleCode(Art_72.50.)</f>
        <v>72.50.</v>
      </c>
      <c r="C123" s="68" t="str">
        <f>[1]!ArticleDescription(Art_72.50.)</f>
        <v>veiligheidsverlichting - algemeen</v>
      </c>
      <c r="D123" s="57"/>
      <c r="E123" s="57"/>
      <c r="F123" s="57"/>
      <c r="G123" s="57"/>
      <c r="H123" s="59"/>
      <c r="I123" s="59"/>
      <c r="J123" s="60"/>
      <c r="K123" s="61"/>
      <c r="L123" s="62"/>
      <c r="M123" s="57"/>
      <c r="N123" s="63"/>
      <c r="O123" s="59">
        <f t="shared" si="29"/>
        <v>0</v>
      </c>
      <c r="P123" s="64" t="str">
        <f t="shared" si="30"/>
        <v/>
      </c>
      <c r="Q123" s="65" t="str">
        <f t="shared" si="31"/>
        <v/>
      </c>
      <c r="R123" s="62"/>
      <c r="S123" s="57"/>
      <c r="T123" s="63"/>
      <c r="U123" s="59">
        <f t="shared" si="32"/>
        <v>0</v>
      </c>
      <c r="V123" s="64" t="str">
        <f t="shared" si="33"/>
        <v/>
      </c>
      <c r="W123" s="65" t="str">
        <f t="shared" si="34"/>
        <v/>
      </c>
      <c r="X123" s="62"/>
      <c r="Y123" s="57"/>
      <c r="Z123" s="63"/>
      <c r="AA123" s="59">
        <f t="shared" si="35"/>
        <v>0</v>
      </c>
      <c r="AB123" s="64" t="str">
        <f t="shared" si="36"/>
        <v/>
      </c>
      <c r="AC123" s="65" t="str">
        <f t="shared" si="37"/>
        <v/>
      </c>
    </row>
    <row r="124" spans="1:29" ht="15" customHeight="1">
      <c r="A124" s="2">
        <f>A122+1</f>
        <v>54</v>
      </c>
      <c r="B124" s="67" t="str">
        <f>[1]!ArticleCode(Art_72.51.)</f>
        <v>72.51.</v>
      </c>
      <c r="C124" s="68" t="str">
        <f>[1]!ArticleDescription(Art_72.51.)</f>
        <v>veiligheidsverlichting – autonoom niet-permanent   (slijpwerken en kabels trekken excl)</v>
      </c>
      <c r="D124" s="57" t="str">
        <f>[1]!ArticleMeasureType(Art_72.51.)</f>
        <v>FH</v>
      </c>
      <c r="E124" s="57" t="str">
        <f>[1]!ArticleMeasureUnit(Art_72.51.)</f>
        <v>st</v>
      </c>
      <c r="F124" s="75">
        <f>[1]!ArticleQuantity(Art_72.51.)</f>
        <v>12</v>
      </c>
      <c r="G124" s="57"/>
      <c r="H124" s="59"/>
      <c r="I124" s="59">
        <f>IF(RIGHT($D124,1)="-","************",ROUND(IF(NOT(ISNUMBER(G124)),IF(NOT(ISNUMBER(F124)),1,F124),G124)*H124,2))</f>
        <v>0</v>
      </c>
      <c r="J124" s="60"/>
      <c r="K124" s="61"/>
      <c r="L124" s="62"/>
      <c r="M124" s="57"/>
      <c r="N124" s="63"/>
      <c r="O124" s="59">
        <f t="shared" si="29"/>
        <v>0</v>
      </c>
      <c r="P124" s="64" t="str">
        <f t="shared" si="30"/>
        <v/>
      </c>
      <c r="Q124" s="65" t="str">
        <f t="shared" si="31"/>
        <v/>
      </c>
      <c r="R124" s="62"/>
      <c r="S124" s="57"/>
      <c r="T124" s="63"/>
      <c r="U124" s="59">
        <f t="shared" si="32"/>
        <v>0</v>
      </c>
      <c r="V124" s="64" t="str">
        <f t="shared" si="33"/>
        <v/>
      </c>
      <c r="W124" s="65" t="str">
        <f t="shared" si="34"/>
        <v/>
      </c>
      <c r="X124" s="62"/>
      <c r="Y124" s="57"/>
      <c r="Z124" s="63"/>
      <c r="AA124" s="59">
        <f t="shared" si="35"/>
        <v>0</v>
      </c>
      <c r="AB124" s="64" t="str">
        <f t="shared" si="36"/>
        <v/>
      </c>
      <c r="AC124" s="65" t="str">
        <f t="shared" si="37"/>
        <v/>
      </c>
    </row>
    <row r="125" spans="1:29" ht="15" customHeight="1">
      <c r="A125" s="2">
        <f>A124+1</f>
        <v>55</v>
      </c>
      <c r="B125" s="67" t="str">
        <f>[1]!ArticleCode(Art_72.55.)</f>
        <v>72.55.</v>
      </c>
      <c r="C125" s="68" t="str">
        <f>[1]!ArticleDescription(Art_72.55.)</f>
        <v xml:space="preserve">veiligheidsverlichting - signalisatie &amp; pictogrammen </v>
      </c>
      <c r="D125" s="57" t="str">
        <f>[1]!ArticleMeasureType(Art_72.55.)</f>
        <v/>
      </c>
      <c r="E125" s="57" t="str">
        <f>[1]!ArticleMeasureUnit(Art_72.55.)</f>
        <v>PM</v>
      </c>
      <c r="F125" s="75" t="str">
        <f>[1]!ArticleQuantity(Art_72.55.)</f>
        <v/>
      </c>
      <c r="G125" s="57"/>
      <c r="H125" s="59"/>
      <c r="I125" s="59">
        <f>IF(RIGHT($D125,1)="-","************",ROUND(IF(NOT(ISNUMBER(G125)),IF(NOT(ISNUMBER(F125)),1,F125),G125)*H125,2))</f>
        <v>0</v>
      </c>
      <c r="J125" s="60"/>
      <c r="K125" s="61"/>
      <c r="L125" s="62"/>
      <c r="M125" s="57"/>
      <c r="N125" s="63"/>
      <c r="O125" s="59">
        <f t="shared" si="29"/>
        <v>0</v>
      </c>
      <c r="P125" s="64" t="str">
        <f t="shared" si="30"/>
        <v/>
      </c>
      <c r="Q125" s="65" t="str">
        <f t="shared" si="31"/>
        <v/>
      </c>
      <c r="R125" s="62"/>
      <c r="S125" s="57"/>
      <c r="T125" s="63"/>
      <c r="U125" s="59">
        <f t="shared" si="32"/>
        <v>0</v>
      </c>
      <c r="V125" s="64" t="str">
        <f t="shared" si="33"/>
        <v/>
      </c>
      <c r="W125" s="65" t="str">
        <f t="shared" si="34"/>
        <v/>
      </c>
      <c r="X125" s="62"/>
      <c r="Y125" s="57"/>
      <c r="Z125" s="63"/>
      <c r="AA125" s="59">
        <f t="shared" si="35"/>
        <v>0</v>
      </c>
      <c r="AB125" s="64" t="str">
        <f t="shared" si="36"/>
        <v/>
      </c>
      <c r="AC125" s="65" t="str">
        <f t="shared" si="37"/>
        <v/>
      </c>
    </row>
    <row r="126" spans="1:29" ht="15" customHeight="1">
      <c r="A126" s="2"/>
      <c r="B126" s="69"/>
      <c r="C126" s="70"/>
      <c r="D126" s="71"/>
      <c r="E126" s="70"/>
      <c r="F126" s="70"/>
      <c r="G126" s="70"/>
      <c r="H126" s="72"/>
      <c r="I126" s="72"/>
      <c r="J126" s="73">
        <f>SUBTOTAL(9,I113:I125)</f>
        <v>0</v>
      </c>
      <c r="K126" s="61"/>
      <c r="L126" s="62"/>
      <c r="M126" s="57"/>
      <c r="N126" s="63"/>
      <c r="O126" s="59">
        <f t="shared" si="29"/>
        <v>0</v>
      </c>
      <c r="P126" s="64" t="str">
        <f t="shared" si="30"/>
        <v/>
      </c>
      <c r="Q126" s="65" t="str">
        <f t="shared" si="31"/>
        <v/>
      </c>
      <c r="R126" s="62"/>
      <c r="S126" s="57"/>
      <c r="T126" s="63"/>
      <c r="U126" s="59">
        <f t="shared" si="32"/>
        <v>0</v>
      </c>
      <c r="V126" s="64" t="str">
        <f t="shared" si="33"/>
        <v/>
      </c>
      <c r="W126" s="65" t="str">
        <f t="shared" si="34"/>
        <v/>
      </c>
      <c r="X126" s="62"/>
      <c r="Y126" s="57"/>
      <c r="Z126" s="63"/>
      <c r="AA126" s="59">
        <f t="shared" si="35"/>
        <v>0</v>
      </c>
      <c r="AB126" s="64" t="str">
        <f t="shared" si="36"/>
        <v/>
      </c>
      <c r="AC126" s="65" t="str">
        <f t="shared" si="37"/>
        <v/>
      </c>
    </row>
    <row r="127" spans="1:29" ht="15" customHeight="1">
      <c r="A127" s="2"/>
      <c r="B127" s="74"/>
      <c r="C127" s="57"/>
      <c r="D127" s="57"/>
      <c r="E127" s="57"/>
      <c r="F127" s="57"/>
      <c r="G127" s="57"/>
      <c r="H127" s="59"/>
      <c r="I127" s="59"/>
      <c r="J127" s="60"/>
      <c r="K127" s="61"/>
      <c r="L127" s="62"/>
      <c r="M127" s="57"/>
      <c r="N127" s="63"/>
      <c r="O127" s="59">
        <f t="shared" si="29"/>
        <v>0</v>
      </c>
      <c r="P127" s="64" t="str">
        <f t="shared" si="30"/>
        <v/>
      </c>
      <c r="Q127" s="65" t="str">
        <f t="shared" si="31"/>
        <v/>
      </c>
      <c r="R127" s="62"/>
      <c r="S127" s="57"/>
      <c r="T127" s="63"/>
      <c r="U127" s="59">
        <f t="shared" si="32"/>
        <v>0</v>
      </c>
      <c r="V127" s="64" t="str">
        <f t="shared" si="33"/>
        <v/>
      </c>
      <c r="W127" s="65" t="str">
        <f t="shared" si="34"/>
        <v/>
      </c>
      <c r="X127" s="62"/>
      <c r="Y127" s="57"/>
      <c r="Z127" s="63"/>
      <c r="AA127" s="59">
        <f t="shared" si="35"/>
        <v>0</v>
      </c>
      <c r="AB127" s="64" t="str">
        <f t="shared" si="36"/>
        <v/>
      </c>
      <c r="AC127" s="65" t="str">
        <f t="shared" si="37"/>
        <v/>
      </c>
    </row>
    <row r="128" spans="1:29" ht="15" customHeight="1">
      <c r="A128" s="2"/>
      <c r="B128" s="56" t="s">
        <v>313</v>
      </c>
      <c r="C128" s="57"/>
      <c r="D128" s="58"/>
      <c r="E128" s="57"/>
      <c r="F128" s="57"/>
      <c r="G128" s="57"/>
      <c r="H128" s="59"/>
      <c r="I128" s="59"/>
      <c r="J128" s="60"/>
      <c r="K128" s="61"/>
      <c r="L128" s="62"/>
      <c r="M128" s="57"/>
      <c r="N128" s="63"/>
      <c r="O128" s="59">
        <f t="shared" si="29"/>
        <v>0</v>
      </c>
      <c r="P128" s="64" t="str">
        <f t="shared" si="30"/>
        <v/>
      </c>
      <c r="Q128" s="65" t="str">
        <f t="shared" si="31"/>
        <v/>
      </c>
      <c r="R128" s="62"/>
      <c r="S128" s="57"/>
      <c r="T128" s="63"/>
      <c r="U128" s="59">
        <f t="shared" si="32"/>
        <v>0</v>
      </c>
      <c r="V128" s="64" t="str">
        <f t="shared" si="33"/>
        <v/>
      </c>
      <c r="W128" s="65" t="str">
        <f t="shared" si="34"/>
        <v/>
      </c>
      <c r="X128" s="62"/>
      <c r="Y128" s="57"/>
      <c r="Z128" s="63"/>
      <c r="AA128" s="59">
        <f t="shared" si="35"/>
        <v>0</v>
      </c>
      <c r="AB128" s="64" t="str">
        <f t="shared" si="36"/>
        <v/>
      </c>
      <c r="AC128" s="65" t="str">
        <f t="shared" si="37"/>
        <v/>
      </c>
    </row>
    <row r="129" spans="1:29" ht="15" customHeight="1">
      <c r="A129" s="2"/>
      <c r="B129" s="67" t="str">
        <f>[1]!ArticleCode(Art_74.)</f>
        <v>74.</v>
      </c>
      <c r="C129" s="68" t="str">
        <f>[1]!ArticleDescription(Art_74.)</f>
        <v>ELEKTRICITEIT TELECOM &amp; DOMOTICA</v>
      </c>
      <c r="D129" s="57"/>
      <c r="E129" s="57"/>
      <c r="F129" s="57"/>
      <c r="G129" s="57"/>
      <c r="H129" s="59"/>
      <c r="I129" s="59"/>
      <c r="J129" s="60"/>
      <c r="K129" s="61"/>
      <c r="L129" s="62"/>
      <c r="M129" s="57"/>
      <c r="N129" s="63"/>
      <c r="O129" s="59">
        <f t="shared" si="29"/>
        <v>0</v>
      </c>
      <c r="P129" s="64" t="str">
        <f t="shared" si="30"/>
        <v/>
      </c>
      <c r="Q129" s="65" t="str">
        <f t="shared" si="31"/>
        <v/>
      </c>
      <c r="R129" s="62"/>
      <c r="S129" s="57"/>
      <c r="T129" s="63"/>
      <c r="U129" s="59">
        <f t="shared" si="32"/>
        <v>0</v>
      </c>
      <c r="V129" s="64" t="str">
        <f t="shared" si="33"/>
        <v/>
      </c>
      <c r="W129" s="65" t="str">
        <f t="shared" si="34"/>
        <v/>
      </c>
      <c r="X129" s="62"/>
      <c r="Y129" s="57"/>
      <c r="Z129" s="63"/>
      <c r="AA129" s="59">
        <f t="shared" si="35"/>
        <v>0</v>
      </c>
      <c r="AB129" s="64" t="str">
        <f t="shared" si="36"/>
        <v/>
      </c>
      <c r="AC129" s="65" t="str">
        <f t="shared" si="37"/>
        <v/>
      </c>
    </row>
    <row r="130" spans="1:29" ht="15" customHeight="1">
      <c r="A130" s="2"/>
      <c r="B130" s="67" t="str">
        <f>[1]!ArticleCode(Art_74.00.)</f>
        <v>74.00.</v>
      </c>
      <c r="C130" s="68" t="str">
        <f>[1]!ArticleDescription(Art_74.00.)</f>
        <v>elektriciteit telecom &amp; domotica - algemeen</v>
      </c>
      <c r="D130" s="57"/>
      <c r="E130" s="57"/>
      <c r="F130" s="57"/>
      <c r="G130" s="57"/>
      <c r="H130" s="59"/>
      <c r="I130" s="59"/>
      <c r="J130" s="60"/>
      <c r="K130" s="61"/>
      <c r="L130" s="62"/>
      <c r="M130" s="57"/>
      <c r="N130" s="63"/>
      <c r="O130" s="59">
        <f t="shared" si="29"/>
        <v>0</v>
      </c>
      <c r="P130" s="64" t="str">
        <f t="shared" si="30"/>
        <v/>
      </c>
      <c r="Q130" s="65" t="str">
        <f t="shared" si="31"/>
        <v/>
      </c>
      <c r="R130" s="62"/>
      <c r="S130" s="57"/>
      <c r="T130" s="63"/>
      <c r="U130" s="59">
        <f t="shared" si="32"/>
        <v>0</v>
      </c>
      <c r="V130" s="64" t="str">
        <f t="shared" si="33"/>
        <v/>
      </c>
      <c r="W130" s="65" t="str">
        <f t="shared" si="34"/>
        <v/>
      </c>
      <c r="X130" s="62"/>
      <c r="Y130" s="57"/>
      <c r="Z130" s="63"/>
      <c r="AA130" s="59">
        <f t="shared" si="35"/>
        <v>0</v>
      </c>
      <c r="AB130" s="64" t="str">
        <f t="shared" si="36"/>
        <v/>
      </c>
      <c r="AC130" s="65" t="str">
        <f t="shared" si="37"/>
        <v/>
      </c>
    </row>
    <row r="131" spans="1:29" ht="15" customHeight="1">
      <c r="A131" s="2"/>
      <c r="B131" s="67" t="str">
        <f>[1]!ArticleCode(Art_74.30.)</f>
        <v>74.30.</v>
      </c>
      <c r="C131" s="68" t="str">
        <f>[1]!ArticleDescription(Art_74.30.)</f>
        <v>netwerkbekabeling – algemeen</v>
      </c>
      <c r="D131" s="57"/>
      <c r="E131" s="57"/>
      <c r="F131" s="57"/>
      <c r="G131" s="57"/>
      <c r="H131" s="59"/>
      <c r="I131" s="59"/>
      <c r="J131" s="60"/>
      <c r="K131" s="61"/>
      <c r="L131" s="62"/>
      <c r="M131" s="57"/>
      <c r="N131" s="63"/>
      <c r="O131" s="59">
        <f t="shared" si="29"/>
        <v>0</v>
      </c>
      <c r="P131" s="64" t="str">
        <f t="shared" si="30"/>
        <v/>
      </c>
      <c r="Q131" s="65" t="str">
        <f t="shared" si="31"/>
        <v/>
      </c>
      <c r="R131" s="62"/>
      <c r="S131" s="57"/>
      <c r="T131" s="63"/>
      <c r="U131" s="59">
        <f t="shared" si="32"/>
        <v>0</v>
      </c>
      <c r="V131" s="64" t="str">
        <f t="shared" si="33"/>
        <v/>
      </c>
      <c r="W131" s="65" t="str">
        <f t="shared" si="34"/>
        <v/>
      </c>
      <c r="X131" s="62"/>
      <c r="Y131" s="57"/>
      <c r="Z131" s="63"/>
      <c r="AA131" s="59">
        <f t="shared" si="35"/>
        <v>0</v>
      </c>
      <c r="AB131" s="64" t="str">
        <f t="shared" si="36"/>
        <v/>
      </c>
      <c r="AC131" s="65" t="str">
        <f t="shared" si="37"/>
        <v/>
      </c>
    </row>
    <row r="132" spans="1:29" ht="15" customHeight="1">
      <c r="A132" s="2">
        <f>A125+1</f>
        <v>56</v>
      </c>
      <c r="B132" s="67" t="str">
        <f>[1]!ArticleCode(Art_74.31.)</f>
        <v>74.31.</v>
      </c>
      <c r="C132" s="68" t="str">
        <f>[1]!ArticleDescription(Art_74.31.)</f>
        <v>netwerkbekabeling – buitenbekabeling  (enkel levering)</v>
      </c>
      <c r="D132" s="57" t="str">
        <f>[1]!ArticleMeasureType(Art_74.31.)</f>
        <v>FH</v>
      </c>
      <c r="E132" s="57" t="str">
        <f>[1]!ArticleMeasureUnit(Art_74.31.)</f>
        <v>m</v>
      </c>
      <c r="F132" s="76">
        <f>[1]!ArticleQuantity(Art_74.31.)</f>
        <v>14</v>
      </c>
      <c r="G132" s="57"/>
      <c r="H132" s="59"/>
      <c r="I132" s="59">
        <f>IF(RIGHT($D132,1)="-","************",ROUND(IF(NOT(ISNUMBER(G132)),IF(NOT(ISNUMBER(F132)),1,F132),G132)*H132,2))</f>
        <v>0</v>
      </c>
      <c r="J132" s="60"/>
      <c r="K132" s="61"/>
      <c r="L132" s="62"/>
      <c r="M132" s="57"/>
      <c r="N132" s="63"/>
      <c r="O132" s="59">
        <f t="shared" si="29"/>
        <v>0</v>
      </c>
      <c r="P132" s="64" t="str">
        <f t="shared" si="30"/>
        <v/>
      </c>
      <c r="Q132" s="65" t="str">
        <f t="shared" si="31"/>
        <v/>
      </c>
      <c r="R132" s="62"/>
      <c r="S132" s="57"/>
      <c r="T132" s="63"/>
      <c r="U132" s="59">
        <f t="shared" si="32"/>
        <v>0</v>
      </c>
      <c r="V132" s="64" t="str">
        <f t="shared" si="33"/>
        <v/>
      </c>
      <c r="W132" s="65" t="str">
        <f t="shared" si="34"/>
        <v/>
      </c>
      <c r="X132" s="62"/>
      <c r="Y132" s="57"/>
      <c r="Z132" s="63"/>
      <c r="AA132" s="59">
        <f t="shared" si="35"/>
        <v>0</v>
      </c>
      <c r="AB132" s="64" t="str">
        <f t="shared" si="36"/>
        <v/>
      </c>
      <c r="AC132" s="65" t="str">
        <f t="shared" si="37"/>
        <v/>
      </c>
    </row>
    <row r="133" spans="1:29" ht="15" customHeight="1">
      <c r="A133" s="2">
        <f>A132+1</f>
        <v>57</v>
      </c>
      <c r="B133" s="67" t="str">
        <f>[1]!ArticleCode(Art_74.32.)</f>
        <v>74.32.</v>
      </c>
      <c r="C133" s="68" t="str">
        <f>[1]!ArticleDescription(Art_74.32.)</f>
        <v xml:space="preserve">netwerkbekabeling – basis aansluitpunt </v>
      </c>
      <c r="D133" s="57" t="str">
        <f>[1]!ArticleMeasureType(Art_74.32.)</f>
        <v>FH</v>
      </c>
      <c r="E133" s="57" t="str">
        <f>[1]!ArticleMeasureUnit(Art_74.32.)</f>
        <v>st</v>
      </c>
      <c r="F133" s="75">
        <f>[1]!ArticleQuantity(Art_74.32.)</f>
        <v>1</v>
      </c>
      <c r="G133" s="57"/>
      <c r="H133" s="59"/>
      <c r="I133" s="59">
        <f>IF(RIGHT($D133,1)="-","************",ROUND(IF(NOT(ISNUMBER(G133)),IF(NOT(ISNUMBER(F133)),1,F133),G133)*H133,2))</f>
        <v>0</v>
      </c>
      <c r="J133" s="60"/>
      <c r="K133" s="61"/>
      <c r="L133" s="62"/>
      <c r="M133" s="57"/>
      <c r="N133" s="63"/>
      <c r="O133" s="59">
        <f t="shared" si="29"/>
        <v>0</v>
      </c>
      <c r="P133" s="64" t="str">
        <f t="shared" si="30"/>
        <v/>
      </c>
      <c r="Q133" s="65" t="str">
        <f t="shared" si="31"/>
        <v/>
      </c>
      <c r="R133" s="62"/>
      <c r="S133" s="57"/>
      <c r="T133" s="63"/>
      <c r="U133" s="59">
        <f t="shared" si="32"/>
        <v>0</v>
      </c>
      <c r="V133" s="64" t="str">
        <f t="shared" si="33"/>
        <v/>
      </c>
      <c r="W133" s="65" t="str">
        <f t="shared" si="34"/>
        <v/>
      </c>
      <c r="X133" s="62"/>
      <c r="Y133" s="57"/>
      <c r="Z133" s="63"/>
      <c r="AA133" s="59">
        <f t="shared" si="35"/>
        <v>0</v>
      </c>
      <c r="AB133" s="64" t="str">
        <f t="shared" si="36"/>
        <v/>
      </c>
      <c r="AC133" s="65" t="str">
        <f t="shared" si="37"/>
        <v/>
      </c>
    </row>
    <row r="134" spans="1:29" ht="15" customHeight="1">
      <c r="A134" s="2">
        <f>A133+1</f>
        <v>58</v>
      </c>
      <c r="B134" s="67" t="str">
        <f>[1]!ArticleCode(Art_74.33.)</f>
        <v>74.33.</v>
      </c>
      <c r="C134" s="68" t="str">
        <f>[1]!ArticleDescription(Art_74.33.)</f>
        <v>netwerkbekabeling – wifi repeaters (enkel levering kabel,  slijpwerken en kabels trekken excl)</v>
      </c>
      <c r="D134" s="57" t="str">
        <f>[1]!ArticleMeasureType(Art_74.33.)</f>
        <v>FH</v>
      </c>
      <c r="E134" s="57" t="str">
        <f>[1]!ArticleMeasureUnit(Art_74.33.)</f>
        <v>st</v>
      </c>
      <c r="F134" s="75">
        <f>[1]!ArticleQuantity(Art_74.33.)</f>
        <v>3</v>
      </c>
      <c r="G134" s="57"/>
      <c r="H134" s="59"/>
      <c r="I134" s="59">
        <f>IF(RIGHT($D134,1)="-","************",ROUND(IF(NOT(ISNUMBER(G134)),IF(NOT(ISNUMBER(F134)),1,F134),G134)*H134,2))</f>
        <v>0</v>
      </c>
      <c r="J134" s="60"/>
      <c r="K134" s="61"/>
      <c r="L134" s="62"/>
      <c r="M134" s="57"/>
      <c r="N134" s="63"/>
      <c r="O134" s="59">
        <f t="shared" si="29"/>
        <v>0</v>
      </c>
      <c r="P134" s="64" t="str">
        <f t="shared" si="30"/>
        <v/>
      </c>
      <c r="Q134" s="65" t="str">
        <f t="shared" si="31"/>
        <v/>
      </c>
      <c r="R134" s="62"/>
      <c r="S134" s="57"/>
      <c r="T134" s="63"/>
      <c r="U134" s="59">
        <f t="shared" si="32"/>
        <v>0</v>
      </c>
      <c r="V134" s="64" t="str">
        <f t="shared" si="33"/>
        <v/>
      </c>
      <c r="W134" s="65" t="str">
        <f t="shared" si="34"/>
        <v/>
      </c>
      <c r="X134" s="62"/>
      <c r="Y134" s="57"/>
      <c r="Z134" s="63"/>
      <c r="AA134" s="59">
        <f t="shared" si="35"/>
        <v>0</v>
      </c>
      <c r="AB134" s="64" t="str">
        <f t="shared" si="36"/>
        <v/>
      </c>
      <c r="AC134" s="65" t="str">
        <f t="shared" si="37"/>
        <v/>
      </c>
    </row>
    <row r="135" spans="1:29" ht="15" customHeight="1">
      <c r="A135" s="2">
        <f>A134+1</f>
        <v>59</v>
      </c>
      <c r="B135" s="67" t="str">
        <f>[1]!ArticleCode(Art_74.34.)</f>
        <v>74.34.</v>
      </c>
      <c r="C135" s="68" t="str">
        <f>[1]!ArticleDescription(Art_74.34.)</f>
        <v xml:space="preserve">netwerkbekabeling - binnenbekabeling </v>
      </c>
      <c r="D135" s="57" t="str">
        <f>[1]!ArticleMeasureType(Art_74.34.)</f>
        <v/>
      </c>
      <c r="E135" s="57" t="str">
        <f>[1]!ArticleMeasureUnit(Art_74.34.)</f>
        <v>PM</v>
      </c>
      <c r="F135" s="75" t="str">
        <f>[1]!ArticleQuantity(Art_74.34.)</f>
        <v/>
      </c>
      <c r="G135" s="57"/>
      <c r="H135" s="59"/>
      <c r="I135" s="59">
        <f>IF(RIGHT($D135,1)="-","************",ROUND(IF(NOT(ISNUMBER(G135)),IF(NOT(ISNUMBER(F135)),1,F135),G135)*H135,2))</f>
        <v>0</v>
      </c>
      <c r="J135" s="60"/>
      <c r="K135" s="61"/>
      <c r="L135" s="62"/>
      <c r="M135" s="57"/>
      <c r="N135" s="63"/>
      <c r="O135" s="59">
        <f t="shared" si="29"/>
        <v>0</v>
      </c>
      <c r="P135" s="64" t="str">
        <f t="shared" si="30"/>
        <v/>
      </c>
      <c r="Q135" s="65" t="str">
        <f t="shared" si="31"/>
        <v/>
      </c>
      <c r="R135" s="62"/>
      <c r="S135" s="57"/>
      <c r="T135" s="63"/>
      <c r="U135" s="59">
        <f t="shared" si="32"/>
        <v>0</v>
      </c>
      <c r="V135" s="64" t="str">
        <f t="shared" si="33"/>
        <v/>
      </c>
      <c r="W135" s="65" t="str">
        <f t="shared" si="34"/>
        <v/>
      </c>
      <c r="X135" s="62"/>
      <c r="Y135" s="57"/>
      <c r="Z135" s="63"/>
      <c r="AA135" s="59">
        <f t="shared" si="35"/>
        <v>0</v>
      </c>
      <c r="AB135" s="64" t="str">
        <f t="shared" si="36"/>
        <v/>
      </c>
      <c r="AC135" s="65" t="str">
        <f t="shared" si="37"/>
        <v/>
      </c>
    </row>
    <row r="136" spans="1:29" ht="15" customHeight="1">
      <c r="A136" s="2">
        <f>A135+1</f>
        <v>60</v>
      </c>
      <c r="B136" s="67" t="str">
        <f>[1]!ArticleCode(Art_74.35.)</f>
        <v>74.35.</v>
      </c>
      <c r="C136" s="68" t="str">
        <f>[1]!ArticleDescription(Art_74.35.)</f>
        <v>netwerkbekabeling – extra aansluitpunten utp  (slijpwerken en kabels trekken excl)</v>
      </c>
      <c r="D136" s="57" t="str">
        <f>[1]!ArticleMeasureType(Art_74.35.)</f>
        <v>FH</v>
      </c>
      <c r="E136" s="57" t="str">
        <f>[1]!ArticleMeasureUnit(Art_74.35.)</f>
        <v>st</v>
      </c>
      <c r="F136" s="75">
        <f>[1]!ArticleQuantity(Art_74.35.)</f>
        <v>2</v>
      </c>
      <c r="G136" s="57"/>
      <c r="H136" s="59"/>
      <c r="I136" s="59">
        <f>IF(RIGHT($D136,1)="-","************",ROUND(IF(NOT(ISNUMBER(G136)),IF(NOT(ISNUMBER(F136)),1,F136),G136)*H136,2))</f>
        <v>0</v>
      </c>
      <c r="J136" s="60"/>
      <c r="K136" s="61"/>
      <c r="L136" s="62"/>
      <c r="M136" s="57"/>
      <c r="N136" s="63"/>
      <c r="O136" s="59">
        <f t="shared" si="29"/>
        <v>0</v>
      </c>
      <c r="P136" s="64" t="str">
        <f t="shared" si="30"/>
        <v/>
      </c>
      <c r="Q136" s="65" t="str">
        <f t="shared" si="31"/>
        <v/>
      </c>
      <c r="R136" s="62"/>
      <c r="S136" s="57"/>
      <c r="T136" s="63"/>
      <c r="U136" s="59">
        <f t="shared" si="32"/>
        <v>0</v>
      </c>
      <c r="V136" s="64" t="str">
        <f t="shared" si="33"/>
        <v/>
      </c>
      <c r="W136" s="65" t="str">
        <f t="shared" si="34"/>
        <v/>
      </c>
      <c r="X136" s="62"/>
      <c r="Y136" s="57"/>
      <c r="Z136" s="63"/>
      <c r="AA136" s="59">
        <f t="shared" si="35"/>
        <v>0</v>
      </c>
      <c r="AB136" s="64" t="str">
        <f t="shared" si="36"/>
        <v/>
      </c>
      <c r="AC136" s="65" t="str">
        <f t="shared" si="37"/>
        <v/>
      </c>
    </row>
    <row r="137" spans="1:29" ht="15" customHeight="1">
      <c r="A137" s="2"/>
      <c r="B137" s="69"/>
      <c r="C137" s="70"/>
      <c r="D137" s="71"/>
      <c r="E137" s="70"/>
      <c r="F137" s="70"/>
      <c r="G137" s="70"/>
      <c r="H137" s="72"/>
      <c r="I137" s="72"/>
      <c r="J137" s="73">
        <f>SUBTOTAL(9,I129:I136)</f>
        <v>0</v>
      </c>
      <c r="K137" s="61"/>
      <c r="L137" s="62"/>
      <c r="M137" s="57"/>
      <c r="N137" s="63"/>
      <c r="O137" s="59">
        <f t="shared" ref="O137:O168" si="38">IF(MID($D137,3,1)="-","*********",ROUND(IF(NOT(ISNUMBER($G137)),IF(NOT(ISNUMBER($F137)),1,$F137),$G137)*(IF(NOT(ISNUMBER(N137)),L137,N137)),2))</f>
        <v>0</v>
      </c>
      <c r="P137" s="64" t="str">
        <f t="shared" ref="P137:P163" si="39">IF(O$164=0,"",O137/O$164)</f>
        <v/>
      </c>
      <c r="Q137" s="65" t="str">
        <f t="shared" ref="Q137:Q163" si="40">IF($K137=0,"",IF(NOT(ISNUMBER(N137)),L137,N137)/$K137-1)</f>
        <v/>
      </c>
      <c r="R137" s="62"/>
      <c r="S137" s="57"/>
      <c r="T137" s="63"/>
      <c r="U137" s="59">
        <f t="shared" ref="U137:U168" si="41">IF(MID($D137,3,1)="-","*********",ROUND(IF(NOT(ISNUMBER($G137)),IF(NOT(ISNUMBER($F137)),1,$F137),$G137)*(IF(NOT(ISNUMBER(T137)),R137,T137)),2))</f>
        <v>0</v>
      </c>
      <c r="V137" s="64" t="str">
        <f t="shared" ref="V137:V163" si="42">IF(U$164=0,"",U137/U$164)</f>
        <v/>
      </c>
      <c r="W137" s="65" t="str">
        <f t="shared" ref="W137:W163" si="43">IF($K137=0,"",IF(NOT(ISNUMBER(T137)),R137,T137)/$K137-1)</f>
        <v/>
      </c>
      <c r="X137" s="62"/>
      <c r="Y137" s="57"/>
      <c r="Z137" s="63"/>
      <c r="AA137" s="59">
        <f t="shared" ref="AA137:AA168" si="44">IF(MID($D137,3,1)="-","*********",ROUND(IF(NOT(ISNUMBER($G137)),IF(NOT(ISNUMBER($F137)),1,$F137),$G137)*(IF(NOT(ISNUMBER(Z137)),X137,Z137)),2))</f>
        <v>0</v>
      </c>
      <c r="AB137" s="64" t="str">
        <f t="shared" ref="AB137:AB163" si="45">IF(AA$164=0,"",AA137/AA$164)</f>
        <v/>
      </c>
      <c r="AC137" s="65" t="str">
        <f t="shared" ref="AC137:AC163" si="46">IF($K137=0,"",IF(NOT(ISNUMBER(Z137)),X137,Z137)/$K137-1)</f>
        <v/>
      </c>
    </row>
    <row r="138" spans="1:29" ht="15" customHeight="1">
      <c r="A138" s="2"/>
      <c r="B138" s="74"/>
      <c r="C138" s="57"/>
      <c r="D138" s="57"/>
      <c r="E138" s="57"/>
      <c r="F138" s="57"/>
      <c r="G138" s="57"/>
      <c r="H138" s="59"/>
      <c r="I138" s="59"/>
      <c r="J138" s="60"/>
      <c r="K138" s="61"/>
      <c r="L138" s="62"/>
      <c r="M138" s="57"/>
      <c r="N138" s="63"/>
      <c r="O138" s="59">
        <f t="shared" si="38"/>
        <v>0</v>
      </c>
      <c r="P138" s="64" t="str">
        <f t="shared" si="39"/>
        <v/>
      </c>
      <c r="Q138" s="65" t="str">
        <f t="shared" si="40"/>
        <v/>
      </c>
      <c r="R138" s="62"/>
      <c r="S138" s="57"/>
      <c r="T138" s="63"/>
      <c r="U138" s="59">
        <f t="shared" si="41"/>
        <v>0</v>
      </c>
      <c r="V138" s="64" t="str">
        <f t="shared" si="42"/>
        <v/>
      </c>
      <c r="W138" s="65" t="str">
        <f t="shared" si="43"/>
        <v/>
      </c>
      <c r="X138" s="62"/>
      <c r="Y138" s="57"/>
      <c r="Z138" s="63"/>
      <c r="AA138" s="59">
        <f t="shared" si="44"/>
        <v>0</v>
      </c>
      <c r="AB138" s="64" t="str">
        <f t="shared" si="45"/>
        <v/>
      </c>
      <c r="AC138" s="65" t="str">
        <f t="shared" si="46"/>
        <v/>
      </c>
    </row>
    <row r="139" spans="1:29" ht="15" customHeight="1">
      <c r="A139" s="2"/>
      <c r="B139" s="56" t="s">
        <v>314</v>
      </c>
      <c r="C139" s="57"/>
      <c r="D139" s="58"/>
      <c r="E139" s="57"/>
      <c r="F139" s="57"/>
      <c r="G139" s="57"/>
      <c r="H139" s="59"/>
      <c r="I139" s="59"/>
      <c r="J139" s="60"/>
      <c r="K139" s="61"/>
      <c r="L139" s="62"/>
      <c r="M139" s="57"/>
      <c r="N139" s="63"/>
      <c r="O139" s="59">
        <f t="shared" si="38"/>
        <v>0</v>
      </c>
      <c r="P139" s="64" t="str">
        <f t="shared" si="39"/>
        <v/>
      </c>
      <c r="Q139" s="65" t="str">
        <f t="shared" si="40"/>
        <v/>
      </c>
      <c r="R139" s="62"/>
      <c r="S139" s="57"/>
      <c r="T139" s="63"/>
      <c r="U139" s="59">
        <f t="shared" si="41"/>
        <v>0</v>
      </c>
      <c r="V139" s="64" t="str">
        <f t="shared" si="42"/>
        <v/>
      </c>
      <c r="W139" s="65" t="str">
        <f t="shared" si="43"/>
        <v/>
      </c>
      <c r="X139" s="62"/>
      <c r="Y139" s="57"/>
      <c r="Z139" s="63"/>
      <c r="AA139" s="59">
        <f t="shared" si="44"/>
        <v>0</v>
      </c>
      <c r="AB139" s="64" t="str">
        <f t="shared" si="45"/>
        <v/>
      </c>
      <c r="AC139" s="65" t="str">
        <f t="shared" si="46"/>
        <v/>
      </c>
    </row>
    <row r="140" spans="1:29" ht="15" customHeight="1">
      <c r="A140" s="2"/>
      <c r="B140" s="67" t="str">
        <f>[1]!ArticleCode(Art_77.)</f>
        <v>77.</v>
      </c>
      <c r="C140" s="68" t="str">
        <f>[1]!ArticleDescription(Art_77.)</f>
        <v>BRANDDETECTIE &amp; ALARMSYSTEMEN</v>
      </c>
      <c r="D140" s="57"/>
      <c r="E140" s="57"/>
      <c r="F140" s="57"/>
      <c r="G140" s="57"/>
      <c r="H140" s="59"/>
      <c r="I140" s="59"/>
      <c r="J140" s="60"/>
      <c r="K140" s="61"/>
      <c r="L140" s="62"/>
      <c r="M140" s="57"/>
      <c r="N140" s="63"/>
      <c r="O140" s="59">
        <f t="shared" si="38"/>
        <v>0</v>
      </c>
      <c r="P140" s="64" t="str">
        <f t="shared" si="39"/>
        <v/>
      </c>
      <c r="Q140" s="65" t="str">
        <f t="shared" si="40"/>
        <v/>
      </c>
      <c r="R140" s="62"/>
      <c r="S140" s="57"/>
      <c r="T140" s="63"/>
      <c r="U140" s="59">
        <f t="shared" si="41"/>
        <v>0</v>
      </c>
      <c r="V140" s="64" t="str">
        <f t="shared" si="42"/>
        <v/>
      </c>
      <c r="W140" s="65" t="str">
        <f t="shared" si="43"/>
        <v/>
      </c>
      <c r="X140" s="62"/>
      <c r="Y140" s="57"/>
      <c r="Z140" s="63"/>
      <c r="AA140" s="59">
        <f t="shared" si="44"/>
        <v>0</v>
      </c>
      <c r="AB140" s="64" t="str">
        <f t="shared" si="45"/>
        <v/>
      </c>
      <c r="AC140" s="65" t="str">
        <f t="shared" si="46"/>
        <v/>
      </c>
    </row>
    <row r="141" spans="1:29" ht="15" customHeight="1">
      <c r="A141" s="2"/>
      <c r="B141" s="67" t="str">
        <f>[1]!ArticleCode(Art_77.00.)</f>
        <v>77.00.</v>
      </c>
      <c r="C141" s="68" t="str">
        <f>[1]!ArticleDescription(Art_77.00.)</f>
        <v>branddetectie &amp; alarmsystemen - algemeen</v>
      </c>
      <c r="D141" s="57"/>
      <c r="E141" s="57"/>
      <c r="F141" s="57"/>
      <c r="G141" s="57"/>
      <c r="H141" s="59"/>
      <c r="I141" s="59"/>
      <c r="J141" s="60"/>
      <c r="K141" s="61"/>
      <c r="L141" s="62"/>
      <c r="M141" s="57"/>
      <c r="N141" s="63"/>
      <c r="O141" s="59">
        <f t="shared" si="38"/>
        <v>0</v>
      </c>
      <c r="P141" s="64" t="str">
        <f t="shared" si="39"/>
        <v/>
      </c>
      <c r="Q141" s="65" t="str">
        <f t="shared" si="40"/>
        <v/>
      </c>
      <c r="R141" s="62"/>
      <c r="S141" s="57"/>
      <c r="T141" s="63"/>
      <c r="U141" s="59">
        <f t="shared" si="41"/>
        <v>0</v>
      </c>
      <c r="V141" s="64" t="str">
        <f t="shared" si="42"/>
        <v/>
      </c>
      <c r="W141" s="65" t="str">
        <f t="shared" si="43"/>
        <v/>
      </c>
      <c r="X141" s="62"/>
      <c r="Y141" s="57"/>
      <c r="Z141" s="63"/>
      <c r="AA141" s="59">
        <f t="shared" si="44"/>
        <v>0</v>
      </c>
      <c r="AB141" s="64" t="str">
        <f t="shared" si="45"/>
        <v/>
      </c>
      <c r="AC141" s="65" t="str">
        <f t="shared" si="46"/>
        <v/>
      </c>
    </row>
    <row r="142" spans="1:29" ht="15" customHeight="1">
      <c r="A142" s="2">
        <f>A136+1</f>
        <v>61</v>
      </c>
      <c r="B142" s="67" t="str">
        <f>[1]!ArticleCode(Art_77.10.)</f>
        <v>77.10.</v>
      </c>
      <c r="C142" s="68" t="str">
        <f>[1]!ArticleDescription(Art_77.10.)</f>
        <v>centrale eenheid - algemeen (recuperatie bestaande)</v>
      </c>
      <c r="D142" s="57" t="str">
        <f>[1]!ArticleMeasureType(Art_77.10.)</f>
        <v/>
      </c>
      <c r="E142" s="57" t="str">
        <f>[1]!ArticleMeasureUnit(Art_77.10.)</f>
        <v>SOG</v>
      </c>
      <c r="F142" s="75" t="str">
        <f>[1]!ArticleQuantity(Art_77.10.)</f>
        <v/>
      </c>
      <c r="G142" s="57"/>
      <c r="H142" s="59"/>
      <c r="I142" s="59">
        <f>IF(RIGHT($D142,1)="-","************",ROUND(IF(NOT(ISNUMBER(G142)),IF(NOT(ISNUMBER(F142)),1,F142),G142)*H142,2))</f>
        <v>0</v>
      </c>
      <c r="J142" s="60"/>
      <c r="K142" s="61"/>
      <c r="L142" s="62"/>
      <c r="M142" s="57"/>
      <c r="N142" s="63"/>
      <c r="O142" s="59">
        <f t="shared" si="38"/>
        <v>0</v>
      </c>
      <c r="P142" s="64" t="str">
        <f t="shared" si="39"/>
        <v/>
      </c>
      <c r="Q142" s="65" t="str">
        <f t="shared" si="40"/>
        <v/>
      </c>
      <c r="R142" s="62"/>
      <c r="S142" s="57"/>
      <c r="T142" s="63"/>
      <c r="U142" s="59">
        <f t="shared" si="41"/>
        <v>0</v>
      </c>
      <c r="V142" s="64" t="str">
        <f t="shared" si="42"/>
        <v/>
      </c>
      <c r="W142" s="65" t="str">
        <f t="shared" si="43"/>
        <v/>
      </c>
      <c r="X142" s="62"/>
      <c r="Y142" s="57"/>
      <c r="Z142" s="63"/>
      <c r="AA142" s="59">
        <f t="shared" si="44"/>
        <v>0</v>
      </c>
      <c r="AB142" s="64" t="str">
        <f t="shared" si="45"/>
        <v/>
      </c>
      <c r="AC142" s="65" t="str">
        <f t="shared" si="46"/>
        <v/>
      </c>
    </row>
    <row r="143" spans="1:29" ht="15" customHeight="1">
      <c r="A143" s="2">
        <f>A142+1</f>
        <v>62</v>
      </c>
      <c r="B143" s="67" t="str">
        <f>[1]!ArticleCode(Art_77.20.)</f>
        <v>77.20.</v>
      </c>
      <c r="C143" s="68" t="str">
        <f>[1]!ArticleDescription(Art_77.20.)</f>
        <v xml:space="preserve">energievoorziening - algemeen </v>
      </c>
      <c r="D143" s="57" t="str">
        <f>[1]!ArticleMeasureType(Art_77.20.)</f>
        <v/>
      </c>
      <c r="E143" s="57" t="str">
        <f>[1]!ArticleMeasureUnit(Art_77.20.)</f>
        <v>PM</v>
      </c>
      <c r="F143" s="75" t="str">
        <f>[1]!ArticleQuantity(Art_77.20.)</f>
        <v/>
      </c>
      <c r="G143" s="57"/>
      <c r="H143" s="59"/>
      <c r="I143" s="59">
        <f>IF(RIGHT($D143,1)="-","************",ROUND(IF(NOT(ISNUMBER(G143)),IF(NOT(ISNUMBER(F143)),1,F143),G143)*H143,2))</f>
        <v>0</v>
      </c>
      <c r="J143" s="60"/>
      <c r="K143" s="61"/>
      <c r="L143" s="62"/>
      <c r="M143" s="57"/>
      <c r="N143" s="63"/>
      <c r="O143" s="59">
        <f t="shared" si="38"/>
        <v>0</v>
      </c>
      <c r="P143" s="64" t="str">
        <f t="shared" si="39"/>
        <v/>
      </c>
      <c r="Q143" s="65" t="str">
        <f t="shared" si="40"/>
        <v/>
      </c>
      <c r="R143" s="62"/>
      <c r="S143" s="57"/>
      <c r="T143" s="63"/>
      <c r="U143" s="59">
        <f t="shared" si="41"/>
        <v>0</v>
      </c>
      <c r="V143" s="64" t="str">
        <f t="shared" si="42"/>
        <v/>
      </c>
      <c r="W143" s="65" t="str">
        <f t="shared" si="43"/>
        <v/>
      </c>
      <c r="X143" s="62"/>
      <c r="Y143" s="57"/>
      <c r="Z143" s="63"/>
      <c r="AA143" s="59">
        <f t="shared" si="44"/>
        <v>0</v>
      </c>
      <c r="AB143" s="64" t="str">
        <f t="shared" si="45"/>
        <v/>
      </c>
      <c r="AC143" s="65" t="str">
        <f t="shared" si="46"/>
        <v/>
      </c>
    </row>
    <row r="144" spans="1:29" ht="15" customHeight="1">
      <c r="A144" s="2">
        <f>A143+1</f>
        <v>63</v>
      </c>
      <c r="B144" s="67" t="str">
        <f>[1]!ArticleCode(Art_77.30.)</f>
        <v>77.30.</v>
      </c>
      <c r="C144" s="68" t="str">
        <f>[1]!ArticleDescription(Art_77.30.)</f>
        <v xml:space="preserve">bekabeling - algemeen </v>
      </c>
      <c r="D144" s="57" t="str">
        <f>[1]!ArticleMeasureType(Art_77.30.)</f>
        <v/>
      </c>
      <c r="E144" s="57" t="str">
        <f>[1]!ArticleMeasureUnit(Art_77.30.)</f>
        <v>PM</v>
      </c>
      <c r="F144" s="75" t="str">
        <f>[1]!ArticleQuantity(Art_77.30.)</f>
        <v/>
      </c>
      <c r="G144" s="57"/>
      <c r="H144" s="59"/>
      <c r="I144" s="59">
        <f>IF(RIGHT($D144,1)="-","************",ROUND(IF(NOT(ISNUMBER(G144)),IF(NOT(ISNUMBER(F144)),1,F144),G144)*H144,2))</f>
        <v>0</v>
      </c>
      <c r="J144" s="60"/>
      <c r="K144" s="61"/>
      <c r="L144" s="62"/>
      <c r="M144" s="57"/>
      <c r="N144" s="63"/>
      <c r="O144" s="59">
        <f t="shared" si="38"/>
        <v>0</v>
      </c>
      <c r="P144" s="64" t="str">
        <f t="shared" si="39"/>
        <v/>
      </c>
      <c r="Q144" s="65" t="str">
        <f t="shared" si="40"/>
        <v/>
      </c>
      <c r="R144" s="62"/>
      <c r="S144" s="57"/>
      <c r="T144" s="63"/>
      <c r="U144" s="59">
        <f t="shared" si="41"/>
        <v>0</v>
      </c>
      <c r="V144" s="64" t="str">
        <f t="shared" si="42"/>
        <v/>
      </c>
      <c r="W144" s="65" t="str">
        <f t="shared" si="43"/>
        <v/>
      </c>
      <c r="X144" s="62"/>
      <c r="Y144" s="57"/>
      <c r="Z144" s="63"/>
      <c r="AA144" s="59">
        <f t="shared" si="44"/>
        <v>0</v>
      </c>
      <c r="AB144" s="64" t="str">
        <f t="shared" si="45"/>
        <v/>
      </c>
      <c r="AC144" s="65" t="str">
        <f t="shared" si="46"/>
        <v/>
      </c>
    </row>
    <row r="145" spans="1:29" ht="15" customHeight="1">
      <c r="A145" s="2"/>
      <c r="B145" s="67" t="str">
        <f>[1]!ArticleCode(Art_77.40.)</f>
        <v>77.40.</v>
      </c>
      <c r="C145" s="68" t="str">
        <f>[1]!ArticleDescription(Art_77.40.)</f>
        <v>brandmelding - algemeen</v>
      </c>
      <c r="D145" s="57"/>
      <c r="E145" s="57"/>
      <c r="F145" s="57"/>
      <c r="G145" s="57"/>
      <c r="H145" s="59"/>
      <c r="I145" s="59"/>
      <c r="J145" s="60"/>
      <c r="K145" s="61"/>
      <c r="L145" s="62"/>
      <c r="M145" s="57"/>
      <c r="N145" s="63"/>
      <c r="O145" s="59">
        <f t="shared" si="38"/>
        <v>0</v>
      </c>
      <c r="P145" s="64" t="str">
        <f t="shared" si="39"/>
        <v/>
      </c>
      <c r="Q145" s="65" t="str">
        <f t="shared" si="40"/>
        <v/>
      </c>
      <c r="R145" s="62"/>
      <c r="S145" s="57"/>
      <c r="T145" s="63"/>
      <c r="U145" s="59">
        <f t="shared" si="41"/>
        <v>0</v>
      </c>
      <c r="V145" s="64" t="str">
        <f t="shared" si="42"/>
        <v/>
      </c>
      <c r="W145" s="65" t="str">
        <f t="shared" si="43"/>
        <v/>
      </c>
      <c r="X145" s="62"/>
      <c r="Y145" s="57"/>
      <c r="Z145" s="63"/>
      <c r="AA145" s="59">
        <f t="shared" si="44"/>
        <v>0</v>
      </c>
      <c r="AB145" s="64" t="str">
        <f t="shared" si="45"/>
        <v/>
      </c>
      <c r="AC145" s="65" t="str">
        <f t="shared" si="46"/>
        <v/>
      </c>
    </row>
    <row r="146" spans="1:29" ht="15" customHeight="1">
      <c r="A146" s="2"/>
      <c r="B146" s="67" t="str">
        <f>[1]!ArticleCode(Art_77.41.)</f>
        <v>77.41.</v>
      </c>
      <c r="C146" s="68" t="str">
        <f>[1]!ArticleDescription(Art_77.41.)</f>
        <v>brandmelding - branddetectoren</v>
      </c>
      <c r="D146" s="57"/>
      <c r="E146" s="57"/>
      <c r="F146" s="57"/>
      <c r="G146" s="57"/>
      <c r="H146" s="59"/>
      <c r="I146" s="59"/>
      <c r="J146" s="60"/>
      <c r="K146" s="61"/>
      <c r="L146" s="62"/>
      <c r="M146" s="57"/>
      <c r="N146" s="63"/>
      <c r="O146" s="59">
        <f t="shared" si="38"/>
        <v>0</v>
      </c>
      <c r="P146" s="64" t="str">
        <f t="shared" si="39"/>
        <v/>
      </c>
      <c r="Q146" s="65" t="str">
        <f t="shared" si="40"/>
        <v/>
      </c>
      <c r="R146" s="62"/>
      <c r="S146" s="57"/>
      <c r="T146" s="63"/>
      <c r="U146" s="59">
        <f t="shared" si="41"/>
        <v>0</v>
      </c>
      <c r="V146" s="64" t="str">
        <f t="shared" si="42"/>
        <v/>
      </c>
      <c r="W146" s="65" t="str">
        <f t="shared" si="43"/>
        <v/>
      </c>
      <c r="X146" s="62"/>
      <c r="Y146" s="57"/>
      <c r="Z146" s="63"/>
      <c r="AA146" s="59">
        <f t="shared" si="44"/>
        <v>0</v>
      </c>
      <c r="AB146" s="64" t="str">
        <f t="shared" si="45"/>
        <v/>
      </c>
      <c r="AC146" s="65" t="str">
        <f t="shared" si="46"/>
        <v/>
      </c>
    </row>
    <row r="147" spans="1:29" ht="15" customHeight="1">
      <c r="A147" s="2">
        <f>A144+1</f>
        <v>64</v>
      </c>
      <c r="B147" s="67" t="str">
        <f>[1]!ArticleCode(Art_77.41.10)</f>
        <v>77.41.10</v>
      </c>
      <c r="C147" s="96" t="str">
        <f>[1]!ArticleDescription(Art_77.41.10)</f>
        <v>brandmelding - branddetectoren (recuperatie bestaande, slijpwerken en kabels trekken excl)</v>
      </c>
      <c r="D147" s="57" t="str">
        <f>[1]!ArticleMeasureType(Art_77.41.10)</f>
        <v>VH</v>
      </c>
      <c r="E147" s="57" t="str">
        <f>[1]!ArticleMeasureUnit(Art_77.41.10)</f>
        <v>st</v>
      </c>
      <c r="F147" s="75">
        <f>[1]!ArticleQuantity(Art_77.41.10)</f>
        <v>13</v>
      </c>
      <c r="G147" s="57"/>
      <c r="H147" s="59"/>
      <c r="I147" s="59">
        <f>IF(RIGHT($D147,1)="-","************",ROUND(IF(NOT(ISNUMBER(G147)),IF(NOT(ISNUMBER(F147)),1,F147),G147)*H147,2))</f>
        <v>0</v>
      </c>
      <c r="J147" s="60"/>
      <c r="K147" s="61"/>
      <c r="L147" s="62"/>
      <c r="M147" s="57"/>
      <c r="N147" s="63"/>
      <c r="O147" s="59">
        <f t="shared" si="38"/>
        <v>0</v>
      </c>
      <c r="P147" s="64" t="str">
        <f t="shared" si="39"/>
        <v/>
      </c>
      <c r="Q147" s="65" t="str">
        <f t="shared" si="40"/>
        <v/>
      </c>
      <c r="R147" s="62"/>
      <c r="S147" s="57"/>
      <c r="T147" s="63"/>
      <c r="U147" s="59">
        <f t="shared" si="41"/>
        <v>0</v>
      </c>
      <c r="V147" s="64" t="str">
        <f t="shared" si="42"/>
        <v/>
      </c>
      <c r="W147" s="65" t="str">
        <f t="shared" si="43"/>
        <v/>
      </c>
      <c r="X147" s="62"/>
      <c r="Y147" s="57"/>
      <c r="Z147" s="63"/>
      <c r="AA147" s="59">
        <f t="shared" si="44"/>
        <v>0</v>
      </c>
      <c r="AB147" s="64" t="str">
        <f t="shared" si="45"/>
        <v/>
      </c>
      <c r="AC147" s="65" t="str">
        <f t="shared" si="46"/>
        <v/>
      </c>
    </row>
    <row r="148" spans="1:29" ht="15" customHeight="1">
      <c r="A148" s="2">
        <f>A147+1</f>
        <v>65</v>
      </c>
      <c r="B148" s="67" t="str">
        <f>[1]!ArticleCode(Art_77.41.20)</f>
        <v>77.41.20</v>
      </c>
      <c r="C148" s="68" t="str">
        <f>[1]!ArticleDescription(Art_77.41.20)</f>
        <v>brandmelding - branddetectoren nieuw</v>
      </c>
      <c r="D148" s="57" t="str">
        <f>[1]!ArticleMeasureType(Art_77.41.20)</f>
        <v>EP-</v>
      </c>
      <c r="E148" s="57" t="str">
        <f>[1]!ArticleMeasureUnit(Art_77.41.20)</f>
        <v>st</v>
      </c>
      <c r="F148" s="75">
        <f>[1]!ArticleQuantity(Art_77.41.20)</f>
        <v>0</v>
      </c>
      <c r="G148" s="57"/>
      <c r="H148" s="59"/>
      <c r="I148" s="59">
        <f>H148*F148</f>
        <v>0</v>
      </c>
      <c r="J148" s="60"/>
      <c r="K148" s="61"/>
      <c r="L148" s="62"/>
      <c r="M148" s="57"/>
      <c r="N148" s="63"/>
      <c r="O148" s="59" t="str">
        <f t="shared" si="38"/>
        <v>*********</v>
      </c>
      <c r="P148" s="64" t="str">
        <f t="shared" si="39"/>
        <v/>
      </c>
      <c r="Q148" s="65" t="str">
        <f t="shared" si="40"/>
        <v/>
      </c>
      <c r="R148" s="62"/>
      <c r="S148" s="57"/>
      <c r="T148" s="63"/>
      <c r="U148" s="59" t="str">
        <f t="shared" si="41"/>
        <v>*********</v>
      </c>
      <c r="V148" s="64" t="str">
        <f t="shared" si="42"/>
        <v/>
      </c>
      <c r="W148" s="65" t="str">
        <f t="shared" si="43"/>
        <v/>
      </c>
      <c r="X148" s="62"/>
      <c r="Y148" s="57"/>
      <c r="Z148" s="63"/>
      <c r="AA148" s="59" t="str">
        <f t="shared" si="44"/>
        <v>*********</v>
      </c>
      <c r="AB148" s="64" t="str">
        <f t="shared" si="45"/>
        <v/>
      </c>
      <c r="AC148" s="65" t="str">
        <f t="shared" si="46"/>
        <v/>
      </c>
    </row>
    <row r="149" spans="1:29" ht="15" customHeight="1">
      <c r="A149" s="2"/>
      <c r="B149" s="67" t="str">
        <f>[1]!ArticleCode(Art_77.42.)</f>
        <v>77.42.</v>
      </c>
      <c r="C149" s="68" t="str">
        <f>[1]!ArticleDescription(Art_77.42.)</f>
        <v>brandmelding - handmelders</v>
      </c>
      <c r="D149" s="57"/>
      <c r="E149" s="57"/>
      <c r="F149" s="57"/>
      <c r="G149" s="57"/>
      <c r="H149" s="59"/>
      <c r="I149" s="59"/>
      <c r="J149" s="60"/>
      <c r="K149" s="61"/>
      <c r="L149" s="62"/>
      <c r="M149" s="57"/>
      <c r="N149" s="63"/>
      <c r="O149" s="59">
        <f t="shared" si="38"/>
        <v>0</v>
      </c>
      <c r="P149" s="64" t="str">
        <f t="shared" si="39"/>
        <v/>
      </c>
      <c r="Q149" s="65" t="str">
        <f t="shared" si="40"/>
        <v/>
      </c>
      <c r="R149" s="62"/>
      <c r="S149" s="57"/>
      <c r="T149" s="63"/>
      <c r="U149" s="59">
        <f t="shared" si="41"/>
        <v>0</v>
      </c>
      <c r="V149" s="64" t="str">
        <f t="shared" si="42"/>
        <v/>
      </c>
      <c r="W149" s="65" t="str">
        <f t="shared" si="43"/>
        <v/>
      </c>
      <c r="X149" s="62"/>
      <c r="Y149" s="57"/>
      <c r="Z149" s="63"/>
      <c r="AA149" s="59">
        <f t="shared" si="44"/>
        <v>0</v>
      </c>
      <c r="AB149" s="64" t="str">
        <f t="shared" si="45"/>
        <v/>
      </c>
      <c r="AC149" s="65" t="str">
        <f t="shared" si="46"/>
        <v/>
      </c>
    </row>
    <row r="150" spans="1:29" ht="15" customHeight="1">
      <c r="A150" s="2">
        <f>A148+1</f>
        <v>66</v>
      </c>
      <c r="B150" s="67" t="str">
        <f>[1]!ArticleCode(Art_77.42.10)</f>
        <v>77.42.10</v>
      </c>
      <c r="C150" s="68" t="str">
        <f>[1]!ArticleDescription(Art_77.42.10)</f>
        <v>brandmelding - handmelders (recuperatie bestaande)</v>
      </c>
      <c r="D150" s="57" t="str">
        <f>[1]!ArticleMeasureType(Art_77.42.10)</f>
        <v>FH</v>
      </c>
      <c r="E150" s="57" t="str">
        <f>[1]!ArticleMeasureUnit(Art_77.42.10)</f>
        <v>st</v>
      </c>
      <c r="F150" s="75">
        <f>[1]!ArticleQuantity(Art_77.42.10)</f>
        <v>3</v>
      </c>
      <c r="G150" s="57"/>
      <c r="H150" s="59"/>
      <c r="I150" s="59">
        <f>IF(RIGHT($D150,1)="-","************",ROUND(IF(NOT(ISNUMBER(G150)),IF(NOT(ISNUMBER(F150)),1,F150),G150)*H150,2))</f>
        <v>0</v>
      </c>
      <c r="J150" s="60"/>
      <c r="K150" s="61"/>
      <c r="L150" s="62"/>
      <c r="M150" s="57"/>
      <c r="N150" s="63"/>
      <c r="O150" s="59">
        <f t="shared" si="38"/>
        <v>0</v>
      </c>
      <c r="P150" s="64" t="str">
        <f t="shared" si="39"/>
        <v/>
      </c>
      <c r="Q150" s="65" t="str">
        <f t="shared" si="40"/>
        <v/>
      </c>
      <c r="R150" s="62"/>
      <c r="S150" s="57"/>
      <c r="T150" s="63"/>
      <c r="U150" s="59">
        <f t="shared" si="41"/>
        <v>0</v>
      </c>
      <c r="V150" s="64" t="str">
        <f t="shared" si="42"/>
        <v/>
      </c>
      <c r="W150" s="65" t="str">
        <f t="shared" si="43"/>
        <v/>
      </c>
      <c r="X150" s="62"/>
      <c r="Y150" s="57"/>
      <c r="Z150" s="63"/>
      <c r="AA150" s="59">
        <f t="shared" si="44"/>
        <v>0</v>
      </c>
      <c r="AB150" s="64" t="str">
        <f t="shared" si="45"/>
        <v/>
      </c>
      <c r="AC150" s="65" t="str">
        <f t="shared" si="46"/>
        <v/>
      </c>
    </row>
    <row r="151" spans="1:29" ht="15" customHeight="1">
      <c r="A151" s="2">
        <f>A150+1</f>
        <v>67</v>
      </c>
      <c r="B151" s="67" t="str">
        <f>[1]!ArticleCode(Art_77.42.20)</f>
        <v>77.42.20</v>
      </c>
      <c r="C151" s="68" t="str">
        <f>[1]!ArticleDescription(Art_77.42.20)</f>
        <v>brandmelding - handmelders nieuw</v>
      </c>
      <c r="D151" s="57" t="str">
        <f>[1]!ArticleMeasureType(Art_77.42.20)</f>
        <v>EP-</v>
      </c>
      <c r="E151" s="57" t="str">
        <f>[1]!ArticleMeasureUnit(Art_77.42.20)</f>
        <v>st</v>
      </c>
      <c r="F151" s="75">
        <f>[1]!ArticleQuantity(Art_77.42.20)</f>
        <v>0</v>
      </c>
      <c r="G151" s="57"/>
      <c r="H151" s="59"/>
      <c r="I151" s="59">
        <f>H151*F151</f>
        <v>0</v>
      </c>
      <c r="J151" s="60"/>
      <c r="K151" s="61"/>
      <c r="L151" s="62"/>
      <c r="M151" s="57"/>
      <c r="N151" s="63"/>
      <c r="O151" s="59" t="str">
        <f t="shared" si="38"/>
        <v>*********</v>
      </c>
      <c r="P151" s="64" t="str">
        <f t="shared" si="39"/>
        <v/>
      </c>
      <c r="Q151" s="65" t="str">
        <f t="shared" si="40"/>
        <v/>
      </c>
      <c r="R151" s="62"/>
      <c r="S151" s="57"/>
      <c r="T151" s="63"/>
      <c r="U151" s="59" t="str">
        <f t="shared" si="41"/>
        <v>*********</v>
      </c>
      <c r="V151" s="64" t="str">
        <f t="shared" si="42"/>
        <v/>
      </c>
      <c r="W151" s="65" t="str">
        <f t="shared" si="43"/>
        <v/>
      </c>
      <c r="X151" s="62"/>
      <c r="Y151" s="57"/>
      <c r="Z151" s="63"/>
      <c r="AA151" s="59" t="str">
        <f t="shared" si="44"/>
        <v>*********</v>
      </c>
      <c r="AB151" s="64" t="str">
        <f t="shared" si="45"/>
        <v/>
      </c>
      <c r="AC151" s="65" t="str">
        <f t="shared" si="46"/>
        <v/>
      </c>
    </row>
    <row r="152" spans="1:29" ht="15" customHeight="1">
      <c r="A152" s="2"/>
      <c r="B152" s="67" t="str">
        <f>[1]!ArticleCode(Art_77.60.)</f>
        <v>77.60.</v>
      </c>
      <c r="C152" s="68" t="str">
        <f>[1]!ArticleDescription(Art_77.60.)</f>
        <v>evacuatietoebehoren - algemeen</v>
      </c>
      <c r="D152" s="57"/>
      <c r="E152" s="57"/>
      <c r="F152" s="57"/>
      <c r="G152" s="57"/>
      <c r="H152" s="59"/>
      <c r="I152" s="59"/>
      <c r="J152" s="60"/>
      <c r="K152" s="61"/>
      <c r="L152" s="62"/>
      <c r="M152" s="57"/>
      <c r="N152" s="63"/>
      <c r="O152" s="59">
        <f t="shared" si="38"/>
        <v>0</v>
      </c>
      <c r="P152" s="64" t="str">
        <f t="shared" si="39"/>
        <v/>
      </c>
      <c r="Q152" s="65" t="str">
        <f t="shared" si="40"/>
        <v/>
      </c>
      <c r="R152" s="62"/>
      <c r="S152" s="57"/>
      <c r="T152" s="63"/>
      <c r="U152" s="59">
        <f t="shared" si="41"/>
        <v>0</v>
      </c>
      <c r="V152" s="64" t="str">
        <f t="shared" si="42"/>
        <v/>
      </c>
      <c r="W152" s="65" t="str">
        <f t="shared" si="43"/>
        <v/>
      </c>
      <c r="X152" s="62"/>
      <c r="Y152" s="57"/>
      <c r="Z152" s="63"/>
      <c r="AA152" s="59">
        <f t="shared" si="44"/>
        <v>0</v>
      </c>
      <c r="AB152" s="64" t="str">
        <f t="shared" si="45"/>
        <v/>
      </c>
      <c r="AC152" s="65" t="str">
        <f t="shared" si="46"/>
        <v/>
      </c>
    </row>
    <row r="153" spans="1:29" ht="15" customHeight="1">
      <c r="A153" s="2"/>
      <c r="B153" s="67" t="str">
        <f>[1]!ArticleCode(Art_77.62.)</f>
        <v>77.62.</v>
      </c>
      <c r="C153" s="68" t="str">
        <f>[1]!ArticleDescription(Art_77.62.)</f>
        <v>evacuatietoebehoren - pictogrammen</v>
      </c>
      <c r="D153" s="57"/>
      <c r="E153" s="57"/>
      <c r="F153" s="57"/>
      <c r="G153" s="57"/>
      <c r="H153" s="59"/>
      <c r="I153" s="59"/>
      <c r="J153" s="60"/>
      <c r="K153" s="61"/>
      <c r="L153" s="62"/>
      <c r="M153" s="57"/>
      <c r="N153" s="63"/>
      <c r="O153" s="59">
        <f t="shared" si="38"/>
        <v>0</v>
      </c>
      <c r="P153" s="64" t="str">
        <f t="shared" si="39"/>
        <v/>
      </c>
      <c r="Q153" s="65" t="str">
        <f t="shared" si="40"/>
        <v/>
      </c>
      <c r="R153" s="62"/>
      <c r="S153" s="57"/>
      <c r="T153" s="63"/>
      <c r="U153" s="59">
        <f t="shared" si="41"/>
        <v>0</v>
      </c>
      <c r="V153" s="64" t="str">
        <f t="shared" si="42"/>
        <v/>
      </c>
      <c r="W153" s="65" t="str">
        <f t="shared" si="43"/>
        <v/>
      </c>
      <c r="X153" s="62"/>
      <c r="Y153" s="57"/>
      <c r="Z153" s="63"/>
      <c r="AA153" s="59">
        <f t="shared" si="44"/>
        <v>0</v>
      </c>
      <c r="AB153" s="64" t="str">
        <f t="shared" si="45"/>
        <v/>
      </c>
      <c r="AC153" s="65" t="str">
        <f t="shared" si="46"/>
        <v/>
      </c>
    </row>
    <row r="154" spans="1:29" ht="15" customHeight="1">
      <c r="A154" s="2">
        <f>A151+1</f>
        <v>68</v>
      </c>
      <c r="B154" s="67" t="str">
        <f>[1]!ArticleCode(Art_77.62.10.)</f>
        <v>77.62.10.</v>
      </c>
      <c r="C154" s="68" t="str">
        <f>[1]!ArticleDescription(Art_77.62.10.)</f>
        <v>evacuatietoebehoren – pictogrammen - evacuatieschema</v>
      </c>
      <c r="D154" s="57" t="str">
        <f>[1]!ArticleMeasureType(Art_77.62.10.)</f>
        <v>FH</v>
      </c>
      <c r="E154" s="57" t="str">
        <f>[1]!ArticleMeasureUnit(Art_77.62.10.)</f>
        <v>st</v>
      </c>
      <c r="F154" s="75">
        <f>[1]!ArticleQuantity(Art_77.62.10.)</f>
        <v>3</v>
      </c>
      <c r="G154" s="57"/>
      <c r="H154" s="59"/>
      <c r="I154" s="59">
        <f>IF(RIGHT($D154,1)="-","************",ROUND(IF(NOT(ISNUMBER(G154)),IF(NOT(ISNUMBER(F154)),1,F154),G154)*H154,2))</f>
        <v>0</v>
      </c>
      <c r="J154" s="60"/>
      <c r="K154" s="61"/>
      <c r="L154" s="62"/>
      <c r="M154" s="57"/>
      <c r="N154" s="63"/>
      <c r="O154" s="59">
        <f t="shared" si="38"/>
        <v>0</v>
      </c>
      <c r="P154" s="64" t="str">
        <f t="shared" si="39"/>
        <v/>
      </c>
      <c r="Q154" s="65" t="str">
        <f t="shared" si="40"/>
        <v/>
      </c>
      <c r="R154" s="62"/>
      <c r="S154" s="57"/>
      <c r="T154" s="63"/>
      <c r="U154" s="59">
        <f t="shared" si="41"/>
        <v>0</v>
      </c>
      <c r="V154" s="64" t="str">
        <f t="shared" si="42"/>
        <v/>
      </c>
      <c r="W154" s="65" t="str">
        <f t="shared" si="43"/>
        <v/>
      </c>
      <c r="X154" s="62"/>
      <c r="Y154" s="57"/>
      <c r="Z154" s="63"/>
      <c r="AA154" s="59">
        <f t="shared" si="44"/>
        <v>0</v>
      </c>
      <c r="AB154" s="64" t="str">
        <f t="shared" si="45"/>
        <v/>
      </c>
      <c r="AC154" s="65" t="str">
        <f t="shared" si="46"/>
        <v/>
      </c>
    </row>
    <row r="155" spans="1:29" ht="15" customHeight="1">
      <c r="A155" s="2">
        <f>A154+1</f>
        <v>69</v>
      </c>
      <c r="B155" s="67" t="str">
        <f>[1]!ArticleCode(Art_77.62.20.)</f>
        <v>77.62.20.</v>
      </c>
      <c r="C155" s="68" t="str">
        <f>[1]!ArticleDescription(Art_77.62.20.)</f>
        <v xml:space="preserve">evacuatietoebehoren – pictogrammen - verzamelplaats	</v>
      </c>
      <c r="D155" s="57" t="str">
        <f>[1]!ArticleMeasureType(Art_77.62.20.)</f>
        <v>FH</v>
      </c>
      <c r="E155" s="57" t="str">
        <f>[1]!ArticleMeasureUnit(Art_77.62.20.)</f>
        <v>st</v>
      </c>
      <c r="F155" s="75">
        <f>[1]!ArticleQuantity(Art_77.62.20.)</f>
        <v>1</v>
      </c>
      <c r="G155" s="57"/>
      <c r="H155" s="59"/>
      <c r="I155" s="59">
        <f>IF(RIGHT($D155,1)="-","************",ROUND(IF(NOT(ISNUMBER(G155)),IF(NOT(ISNUMBER(F155)),1,F155),G155)*H155,2))</f>
        <v>0</v>
      </c>
      <c r="J155" s="60"/>
      <c r="K155" s="61"/>
      <c r="L155" s="62"/>
      <c r="M155" s="57"/>
      <c r="N155" s="63"/>
      <c r="O155" s="59">
        <f t="shared" si="38"/>
        <v>0</v>
      </c>
      <c r="P155" s="64" t="str">
        <f t="shared" si="39"/>
        <v/>
      </c>
      <c r="Q155" s="65" t="str">
        <f t="shared" si="40"/>
        <v/>
      </c>
      <c r="R155" s="62"/>
      <c r="S155" s="57"/>
      <c r="T155" s="63"/>
      <c r="U155" s="59">
        <f t="shared" si="41"/>
        <v>0</v>
      </c>
      <c r="V155" s="64" t="str">
        <f t="shared" si="42"/>
        <v/>
      </c>
      <c r="W155" s="65" t="str">
        <f t="shared" si="43"/>
        <v/>
      </c>
      <c r="X155" s="62"/>
      <c r="Y155" s="57"/>
      <c r="Z155" s="63"/>
      <c r="AA155" s="59">
        <f t="shared" si="44"/>
        <v>0</v>
      </c>
      <c r="AB155" s="64" t="str">
        <f t="shared" si="45"/>
        <v/>
      </c>
      <c r="AC155" s="65" t="str">
        <f t="shared" si="46"/>
        <v/>
      </c>
    </row>
    <row r="156" spans="1:29" ht="15" customHeight="1">
      <c r="A156" s="2"/>
      <c r="B156" s="69"/>
      <c r="C156" s="70"/>
      <c r="D156" s="71"/>
      <c r="E156" s="70"/>
      <c r="F156" s="70"/>
      <c r="G156" s="70"/>
      <c r="H156" s="72"/>
      <c r="I156" s="72"/>
      <c r="J156" s="73">
        <f>SUBTOTAL(9,I140:I155)</f>
        <v>0</v>
      </c>
      <c r="K156" s="61"/>
      <c r="L156" s="62"/>
      <c r="M156" s="57"/>
      <c r="N156" s="63"/>
      <c r="O156" s="59">
        <f t="shared" si="38"/>
        <v>0</v>
      </c>
      <c r="P156" s="64" t="str">
        <f t="shared" si="39"/>
        <v/>
      </c>
      <c r="Q156" s="65" t="str">
        <f t="shared" si="40"/>
        <v/>
      </c>
      <c r="R156" s="62"/>
      <c r="S156" s="57"/>
      <c r="T156" s="63"/>
      <c r="U156" s="59">
        <f t="shared" si="41"/>
        <v>0</v>
      </c>
      <c r="V156" s="64" t="str">
        <f t="shared" si="42"/>
        <v/>
      </c>
      <c r="W156" s="65" t="str">
        <f t="shared" si="43"/>
        <v/>
      </c>
      <c r="X156" s="62"/>
      <c r="Y156" s="57"/>
      <c r="Z156" s="63"/>
      <c r="AA156" s="59">
        <f t="shared" si="44"/>
        <v>0</v>
      </c>
      <c r="AB156" s="64" t="str">
        <f t="shared" si="45"/>
        <v/>
      </c>
      <c r="AC156" s="65" t="str">
        <f t="shared" si="46"/>
        <v/>
      </c>
    </row>
    <row r="157" spans="1:29" ht="15" customHeight="1">
      <c r="A157" s="2"/>
      <c r="B157" s="74"/>
      <c r="C157" s="57"/>
      <c r="D157" s="57"/>
      <c r="E157" s="57"/>
      <c r="F157" s="57"/>
      <c r="G157" s="57"/>
      <c r="H157" s="59"/>
      <c r="I157" s="59"/>
      <c r="J157" s="60"/>
      <c r="K157" s="61"/>
      <c r="L157" s="62"/>
      <c r="M157" s="57"/>
      <c r="N157" s="63"/>
      <c r="O157" s="59">
        <f t="shared" si="38"/>
        <v>0</v>
      </c>
      <c r="P157" s="64" t="str">
        <f t="shared" si="39"/>
        <v/>
      </c>
      <c r="Q157" s="65" t="str">
        <f t="shared" si="40"/>
        <v/>
      </c>
      <c r="R157" s="62"/>
      <c r="S157" s="57"/>
      <c r="T157" s="63"/>
      <c r="U157" s="59">
        <f t="shared" si="41"/>
        <v>0</v>
      </c>
      <c r="V157" s="64" t="str">
        <f t="shared" si="42"/>
        <v/>
      </c>
      <c r="W157" s="65" t="str">
        <f t="shared" si="43"/>
        <v/>
      </c>
      <c r="X157" s="62"/>
      <c r="Y157" s="57"/>
      <c r="Z157" s="63"/>
      <c r="AA157" s="59">
        <f t="shared" si="44"/>
        <v>0</v>
      </c>
      <c r="AB157" s="64" t="str">
        <f t="shared" si="45"/>
        <v/>
      </c>
      <c r="AC157" s="65" t="str">
        <f t="shared" si="46"/>
        <v/>
      </c>
    </row>
    <row r="158" spans="1:29" ht="15" customHeight="1">
      <c r="A158" s="2"/>
      <c r="B158" s="56" t="s">
        <v>315</v>
      </c>
      <c r="C158" s="57"/>
      <c r="D158" s="58"/>
      <c r="E158" s="57"/>
      <c r="F158" s="57"/>
      <c r="G158" s="57"/>
      <c r="H158" s="59"/>
      <c r="I158" s="59"/>
      <c r="J158" s="60"/>
      <c r="K158" s="61"/>
      <c r="L158" s="62"/>
      <c r="M158" s="57"/>
      <c r="N158" s="63"/>
      <c r="O158" s="59">
        <f t="shared" si="38"/>
        <v>0</v>
      </c>
      <c r="P158" s="64" t="str">
        <f t="shared" si="39"/>
        <v/>
      </c>
      <c r="Q158" s="65" t="str">
        <f t="shared" si="40"/>
        <v/>
      </c>
      <c r="R158" s="62"/>
      <c r="S158" s="57"/>
      <c r="T158" s="63"/>
      <c r="U158" s="59">
        <f t="shared" si="41"/>
        <v>0</v>
      </c>
      <c r="V158" s="64" t="str">
        <f t="shared" si="42"/>
        <v/>
      </c>
      <c r="W158" s="65" t="str">
        <f t="shared" si="43"/>
        <v/>
      </c>
      <c r="X158" s="62"/>
      <c r="Y158" s="57"/>
      <c r="Z158" s="63"/>
      <c r="AA158" s="59">
        <f t="shared" si="44"/>
        <v>0</v>
      </c>
      <c r="AB158" s="64" t="str">
        <f t="shared" si="45"/>
        <v/>
      </c>
      <c r="AC158" s="65" t="str">
        <f t="shared" si="46"/>
        <v/>
      </c>
    </row>
    <row r="159" spans="1:29" ht="15" customHeight="1">
      <c r="A159" s="2"/>
      <c r="B159" s="67" t="str">
        <f>[1]!ArticleCode(Art_78.)</f>
        <v>78.</v>
      </c>
      <c r="C159" s="68" t="str">
        <f>[1]!ArticleDescription(Art_78.)</f>
        <v>ELEKTRICITEITSPRODUCTIE</v>
      </c>
      <c r="D159" s="57"/>
      <c r="E159" s="57"/>
      <c r="F159" s="57"/>
      <c r="G159" s="57"/>
      <c r="H159" s="59"/>
      <c r="I159" s="59"/>
      <c r="J159" s="60"/>
      <c r="K159" s="61"/>
      <c r="L159" s="62"/>
      <c r="M159" s="57"/>
      <c r="N159" s="63"/>
      <c r="O159" s="59">
        <f t="shared" si="38"/>
        <v>0</v>
      </c>
      <c r="P159" s="64" t="str">
        <f t="shared" si="39"/>
        <v/>
      </c>
      <c r="Q159" s="65" t="str">
        <f t="shared" si="40"/>
        <v/>
      </c>
      <c r="R159" s="62"/>
      <c r="S159" s="57"/>
      <c r="T159" s="63"/>
      <c r="U159" s="59">
        <f t="shared" si="41"/>
        <v>0</v>
      </c>
      <c r="V159" s="64" t="str">
        <f t="shared" si="42"/>
        <v/>
      </c>
      <c r="W159" s="65" t="str">
        <f t="shared" si="43"/>
        <v/>
      </c>
      <c r="X159" s="62"/>
      <c r="Y159" s="57"/>
      <c r="Z159" s="63"/>
      <c r="AA159" s="59">
        <f t="shared" si="44"/>
        <v>0</v>
      </c>
      <c r="AB159" s="64" t="str">
        <f t="shared" si="45"/>
        <v/>
      </c>
      <c r="AC159" s="65" t="str">
        <f t="shared" si="46"/>
        <v/>
      </c>
    </row>
    <row r="160" spans="1:29" ht="15" customHeight="1">
      <c r="A160" s="2"/>
      <c r="B160" s="67" t="str">
        <f>[1]!ArticleCode(Art_78.00.)</f>
        <v>78.00.</v>
      </c>
      <c r="C160" s="68" t="str">
        <f>[1]!ArticleDescription(Art_78.00.)</f>
        <v>elektriciteitsproductie – algemeen</v>
      </c>
      <c r="D160" s="57"/>
      <c r="E160" s="57"/>
      <c r="F160" s="57"/>
      <c r="G160" s="57"/>
      <c r="H160" s="59"/>
      <c r="I160" s="59"/>
      <c r="J160" s="60"/>
      <c r="K160" s="61"/>
      <c r="L160" s="62"/>
      <c r="M160" s="57"/>
      <c r="N160" s="63"/>
      <c r="O160" s="59">
        <f t="shared" si="38"/>
        <v>0</v>
      </c>
      <c r="P160" s="64" t="str">
        <f t="shared" si="39"/>
        <v/>
      </c>
      <c r="Q160" s="65" t="str">
        <f t="shared" si="40"/>
        <v/>
      </c>
      <c r="R160" s="62"/>
      <c r="S160" s="57"/>
      <c r="T160" s="63"/>
      <c r="U160" s="59">
        <f t="shared" si="41"/>
        <v>0</v>
      </c>
      <c r="V160" s="64" t="str">
        <f t="shared" si="42"/>
        <v/>
      </c>
      <c r="W160" s="65" t="str">
        <f t="shared" si="43"/>
        <v/>
      </c>
      <c r="X160" s="62"/>
      <c r="Y160" s="57"/>
      <c r="Z160" s="63"/>
      <c r="AA160" s="59">
        <f t="shared" si="44"/>
        <v>0</v>
      </c>
      <c r="AB160" s="64" t="str">
        <f t="shared" si="45"/>
        <v/>
      </c>
      <c r="AC160" s="65" t="str">
        <f t="shared" si="46"/>
        <v/>
      </c>
    </row>
    <row r="161" spans="1:29" ht="15" customHeight="1">
      <c r="A161" s="2"/>
      <c r="B161" s="67" t="str">
        <f>[1]!ArticleCode(Art_78.10.)</f>
        <v>78.10.</v>
      </c>
      <c r="C161" s="68" t="str">
        <f>[1]!ArticleDescription(Art_78.10.)</f>
        <v>photovoltaïsche panelen – algemeen</v>
      </c>
      <c r="D161" s="57"/>
      <c r="E161" s="57"/>
      <c r="F161" s="57"/>
      <c r="G161" s="57"/>
      <c r="H161" s="59"/>
      <c r="I161" s="59"/>
      <c r="J161" s="60"/>
      <c r="K161" s="61"/>
      <c r="L161" s="62"/>
      <c r="M161" s="57"/>
      <c r="N161" s="63"/>
      <c r="O161" s="59">
        <f t="shared" si="38"/>
        <v>0</v>
      </c>
      <c r="P161" s="64" t="str">
        <f t="shared" si="39"/>
        <v/>
      </c>
      <c r="Q161" s="65" t="str">
        <f t="shared" si="40"/>
        <v/>
      </c>
      <c r="R161" s="62"/>
      <c r="S161" s="57"/>
      <c r="T161" s="63"/>
      <c r="U161" s="59">
        <f t="shared" si="41"/>
        <v>0</v>
      </c>
      <c r="V161" s="64" t="str">
        <f t="shared" si="42"/>
        <v/>
      </c>
      <c r="W161" s="65" t="str">
        <f t="shared" si="43"/>
        <v/>
      </c>
      <c r="X161" s="62"/>
      <c r="Y161" s="57"/>
      <c r="Z161" s="63"/>
      <c r="AA161" s="59">
        <f t="shared" si="44"/>
        <v>0</v>
      </c>
      <c r="AB161" s="64" t="str">
        <f t="shared" si="45"/>
        <v/>
      </c>
      <c r="AC161" s="65" t="str">
        <f t="shared" si="46"/>
        <v/>
      </c>
    </row>
    <row r="162" spans="1:29" ht="15" customHeight="1">
      <c r="A162" s="2">
        <f>A155+1</f>
        <v>70</v>
      </c>
      <c r="B162" s="67" t="str">
        <f>[1]!ArticleCode(Art_78.11.)</f>
        <v>78.11.</v>
      </c>
      <c r="C162" s="68" t="str">
        <f>[1]!ArticleDescription(Art_78.11.)</f>
        <v>Photovoltaïsche panelen – aangesloten op het net (optioneel)</v>
      </c>
      <c r="D162" s="57" t="str">
        <f>[1]!ArticleMeasureType(Art_78.11.)</f>
        <v>EP-</v>
      </c>
      <c r="E162" s="57" t="str">
        <f>[1]!ArticleMeasureUnit(Art_78.11.)</f>
        <v>st</v>
      </c>
      <c r="F162" s="75">
        <f>[1]!ArticleQuantity(Art_78.11.)</f>
        <v>5100</v>
      </c>
      <c r="G162" s="57"/>
      <c r="H162" s="59"/>
      <c r="I162" s="59">
        <f>H162*F162</f>
        <v>0</v>
      </c>
      <c r="J162" s="60"/>
      <c r="K162" s="61"/>
      <c r="L162" s="62"/>
      <c r="M162" s="57"/>
      <c r="N162" s="63"/>
      <c r="O162" s="59" t="str">
        <f t="shared" si="38"/>
        <v>*********</v>
      </c>
      <c r="P162" s="64" t="str">
        <f t="shared" si="39"/>
        <v/>
      </c>
      <c r="Q162" s="65" t="str">
        <f t="shared" si="40"/>
        <v/>
      </c>
      <c r="R162" s="62"/>
      <c r="S162" s="57"/>
      <c r="T162" s="63"/>
      <c r="U162" s="59" t="str">
        <f t="shared" si="41"/>
        <v>*********</v>
      </c>
      <c r="V162" s="64" t="str">
        <f t="shared" si="42"/>
        <v/>
      </c>
      <c r="W162" s="65" t="str">
        <f t="shared" si="43"/>
        <v/>
      </c>
      <c r="X162" s="62"/>
      <c r="Y162" s="57"/>
      <c r="Z162" s="63"/>
      <c r="AA162" s="59" t="str">
        <f t="shared" si="44"/>
        <v>*********</v>
      </c>
      <c r="AB162" s="64" t="str">
        <f t="shared" si="45"/>
        <v/>
      </c>
      <c r="AC162" s="65" t="str">
        <f t="shared" si="46"/>
        <v/>
      </c>
    </row>
    <row r="163" spans="1:29" ht="15" customHeight="1">
      <c r="A163" s="2"/>
      <c r="B163" s="69"/>
      <c r="C163" s="70"/>
      <c r="D163" s="71"/>
      <c r="E163" s="70"/>
      <c r="F163" s="70"/>
      <c r="G163" s="70"/>
      <c r="H163" s="72"/>
      <c r="I163" s="72"/>
      <c r="J163" s="73">
        <f>SUBTOTAL(9,I159:I162)</f>
        <v>0</v>
      </c>
      <c r="K163" s="61"/>
      <c r="L163" s="62"/>
      <c r="M163" s="57"/>
      <c r="N163" s="63"/>
      <c r="O163" s="59">
        <f t="shared" si="38"/>
        <v>0</v>
      </c>
      <c r="P163" s="64" t="str">
        <f t="shared" si="39"/>
        <v/>
      </c>
      <c r="Q163" s="65" t="str">
        <f t="shared" si="40"/>
        <v/>
      </c>
      <c r="R163" s="62"/>
      <c r="S163" s="57"/>
      <c r="T163" s="63"/>
      <c r="U163" s="59">
        <f t="shared" si="41"/>
        <v>0</v>
      </c>
      <c r="V163" s="64" t="str">
        <f t="shared" si="42"/>
        <v/>
      </c>
      <c r="W163" s="65" t="str">
        <f t="shared" si="43"/>
        <v/>
      </c>
      <c r="X163" s="62"/>
      <c r="Y163" s="57"/>
      <c r="Z163" s="63"/>
      <c r="AA163" s="59">
        <f t="shared" si="44"/>
        <v>0</v>
      </c>
      <c r="AB163" s="64" t="str">
        <f t="shared" si="45"/>
        <v/>
      </c>
      <c r="AC163" s="65" t="str">
        <f t="shared" si="46"/>
        <v/>
      </c>
    </row>
    <row r="164" spans="1:29" ht="15" customHeight="1">
      <c r="A164" s="77"/>
      <c r="B164" s="77"/>
      <c r="C164" s="77"/>
      <c r="D164" s="77"/>
      <c r="E164" s="77"/>
      <c r="F164" s="78"/>
      <c r="G164" s="79" t="s">
        <v>303</v>
      </c>
      <c r="H164" s="80"/>
      <c r="I164" s="81">
        <f>SUM(I$10:I163)</f>
        <v>0</v>
      </c>
      <c r="J164" s="82">
        <f>SUM(J$10:J163)</f>
        <v>0</v>
      </c>
      <c r="K164" s="83"/>
      <c r="L164" s="33"/>
      <c r="M164" s="33"/>
      <c r="N164" s="33"/>
      <c r="O164" s="33">
        <f>SUM(O$9:O163)</f>
        <v>0</v>
      </c>
      <c r="P164" s="33"/>
      <c r="Q164" s="33"/>
      <c r="R164" s="33"/>
      <c r="S164" s="33"/>
      <c r="T164" s="33"/>
      <c r="U164" s="33">
        <f>SUM(U$9:U163)</f>
        <v>0</v>
      </c>
      <c r="V164" s="33"/>
      <c r="W164" s="33"/>
      <c r="X164" s="33"/>
      <c r="Y164" s="33"/>
      <c r="Z164" s="33"/>
      <c r="AA164" s="33">
        <f>SUM(AA$9:AA163)</f>
        <v>0</v>
      </c>
      <c r="AB164" s="33"/>
      <c r="AC164" s="33"/>
    </row>
    <row r="165" spans="1:29" ht="15" customHeight="1">
      <c r="A165" s="84"/>
      <c r="B165" s="84"/>
      <c r="C165" s="84"/>
      <c r="D165" s="84"/>
      <c r="E165" s="84"/>
      <c r="F165" s="84"/>
      <c r="G165" s="85"/>
      <c r="H165" s="86"/>
      <c r="I165" s="87"/>
      <c r="J165" s="88"/>
      <c r="K165" s="2"/>
    </row>
    <row r="166" spans="1:29" ht="15" customHeight="1">
      <c r="A166" s="84"/>
      <c r="B166" s="84"/>
      <c r="C166" s="84"/>
      <c r="D166" s="84"/>
      <c r="E166" s="84"/>
      <c r="F166" s="84"/>
      <c r="G166" s="89" t="s">
        <v>304</v>
      </c>
      <c r="H166" s="90">
        <v>0.21</v>
      </c>
      <c r="I166" s="91">
        <f>ROUND(I164*H166,2)</f>
        <v>0</v>
      </c>
      <c r="J166" s="88">
        <f>ROUND(J164*H166,2)</f>
        <v>0</v>
      </c>
      <c r="K166" s="2"/>
    </row>
    <row r="167" spans="1:29" ht="15" customHeight="1">
      <c r="A167" s="84"/>
      <c r="B167" s="84"/>
      <c r="C167" s="84"/>
      <c r="D167" s="84"/>
      <c r="E167" s="84"/>
      <c r="F167" s="84"/>
      <c r="G167" s="85"/>
      <c r="H167" s="86"/>
      <c r="I167" s="81"/>
      <c r="J167" s="82"/>
      <c r="K167" s="2"/>
    </row>
    <row r="168" spans="1:29" ht="15" customHeight="1" thickBot="1">
      <c r="A168" s="84"/>
      <c r="B168" s="84"/>
      <c r="C168" s="84"/>
      <c r="D168" s="84"/>
      <c r="E168" s="84"/>
      <c r="F168" s="84"/>
      <c r="G168" s="92" t="s">
        <v>305</v>
      </c>
      <c r="H168" s="93"/>
      <c r="I168" s="94">
        <f>I166+I164</f>
        <v>0</v>
      </c>
      <c r="J168" s="95">
        <f>J166+J164</f>
        <v>0</v>
      </c>
      <c r="K168" s="2"/>
    </row>
    <row r="169" spans="1:29" ht="15" customHeight="1" thickTop="1"/>
  </sheetData>
  <customSheetViews>
    <customSheetView guid="{2C2C9747-B0CA-48E2-A022-EAB318442176}" hiddenRows="1" hiddenColumns="1" topLeftCell="A2">
      <pane xSplit="10" ySplit="7" topLeftCell="S9" activePane="bottomRight" state="frozen"/>
      <selection pane="bottomRight" activeCell="A9" sqref="A9"/>
    </customSheetView>
    <customSheetView guid="{A67801EE-16AB-4453-B88D-EB118836BA93}" hiddenRows="1" hiddenColumns="1" topLeftCell="A2">
      <pane xSplit="10" ySplit="7" topLeftCell="S9" activePane="bottomRight" state="frozen"/>
      <selection pane="bottomRight" activeCell="A9" sqref="A9"/>
    </customSheetView>
  </customSheetViews>
  <mergeCells count="1">
    <mergeCell ref="D8:E8"/>
  </mergeCells>
  <pageMargins left="0.25" right="0.25" top="0.75" bottom="0.75" header="0.3" footer="0.3"/>
  <pageSetup paperSize="9" scale="67" fitToHeight="0" orientation="portrait" horizontalDpi="300" verticalDpi="300" r:id="rId1"/>
  <headerFooter alignWithMargins="0">
    <oddHeader>&amp;L&amp;D&amp;CSamenvattende opmeting dossier xxx - lot xxx&amp;R&amp;P</oddHeader>
  </headerFooter>
  <colBreaks count="2" manualBreakCount="2">
    <brk id="10" max="29" man="1"/>
    <brk id="23" max="29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datamerge>
  <properties>
    <property name="Dossiernummer" code="[Dossiernummer]" value="DED17"/>
    <property name="Dossiernaam" code="[Dossiernaam]" value="Woning Eva&amp; David"/>
    <property name="Bouwheer" code="[Bouwheer]" value="Eva&amp;David" link="Bouwheren">
      <property name="ID" code="[Bouwheer.ID]" value="Eva&amp;David"/>
      <property name="Bedrijfsnaam" code="[Bouwheer.Bedrijfsnaam]" value=""/>
      <property name="Bedrijfsvorm" code="[Bouwheer.Bedrijfsvorm]" value=""/>
      <property name="Aanspreking" code="[Bouwheer.Aanspreking]" value="dhr."/>
      <property name="Naam" code="[Bouwheer.Naam]" value="DE REU"/>
      <property name="Voornaam" code="[Bouwheer.Voornaam]" value="David"/>
      <property name="en" code="[Bouwheer.en]" value="&amp;"/>
      <property name="Aanspreking2" code="[Bouwheer.Aanspreking2]" value="mvr."/>
      <property name="Naam2" code="[Bouwheer.Naam2]" value="VAN CAENEGEM"/>
      <property name="Voornaam2" code="[Bouwheer.Voornaam2]" value="Eva"/>
      <property name="BouwheerNaam" code="[Bouwheer.BouwheerNaam]" value="dhr. David DE REU &amp; mvr. Eva VAN CAENEGEM"/>
      <property name="Adres" code="[Bouwheer.Adres]" value="Bollebergen 39"/>
      <property name="Postcode" code="[Bouwheer.Postcode]" value="9052"/>
      <property name="Gemeente" code="[Bouwheer.Gemeente]" value="Zwijnaarde"/>
      <property name="Telefoon" code="[Bouwheer.Telefoon]" value=""/>
      <property name="Email" code="[Bouwheer.Email]" value="" func="@"/>
      <property name="GSM" code="[Bouwheer.GSM]" value=""/>
      <property name="Fax" code="[Bouwheer.Fax]" value=""/>
      <property name="BTW" code="[Bouwheer.BTW]" value=""/>
      <property name="Ondernemingsnummer" code="[Bouwheer.Ondernemingsnummer]" value=""/>
      <property name="MaatschappelijkeZetel" code="[Bouwheer.MaatschappelijkeZetel]" value=""/>
    </property>
    <property name="Dossieromschrijving" code="[Dossieromschrijving]" value="Bouwen van een ééngezinswoning"/>
    <property name="Dossiermap" code="[Dossiermap]" value="DED"/>
    <property name="Dossierdatum" code="[Dossierdatum]" value=""/>
    <property name="Projectstatus" code="[Projectstatus]" value="bouwaanvraag"/>
    <property name="Werf" code="[Werf]" value="Antoon Catriestraat - 9031 Drongen" link="Werven">
      <property name="ID" code="[Werf.ID]" value=""/>
      <property name="Provincie" code="[Werf.Provincie]" value=""/>
      <property name="Adres" code="[Werf.Adres]" value=""/>
      <property name="Postcode" code="[Werf.Postcode]" value=""/>
      <property name="Gemeente" code="[Werf.Gemeente]" value=""/>
      <property name="Telefoon" code="[Werf.Telefoon]" value=""/>
      <property name="Fax" code="[Werf.Fax]" value=""/>
      <property name="DatumStart" code="[Werf.DatumStart]" value=""/>
      <property name="Kadaster" code="[Werf.Kadaster]" value=""/>
      <property name="Verkaveling" code="[Werf.Verkaveling]" value=""/>
      <property name="DatumVerkaveling" code="[Werf.DatumVerkaveling]" value=""/>
      <property name="Werfleider" code="[Werf.Werfleider]" value="" link="Medewerkers">
        <property name="ID" code="[Werf.Werfleider.ID]" value=""/>
        <property name="Naam" code="[Werf.Werfleider.Naam]" value=""/>
        <property name="Voornaam" code="[Werf.Werfleider.Voornaam]" value=""/>
        <property name="Functie" code="[Werf.Werfleider.Functie]" value=""/>
        <property name="Email" code="[Werf.Werfleider.Email]" value="" func="@"/>
      </property>
    </property>
    <group name="Architecten">
      <property name="Architect" code="[Architect]" value="" link="Architecten">
        <property name="ID" code="[Architect.ID]" value=""/>
        <property name="Bedrijfsnaam" code="[Architect.Bedrijfsnaam]" value=""/>
        <property name="Bedrijfsvorm" code="[Architect.Bedrijfsvorm]" value=""/>
        <property name="Aanspreking" code="[Architect.Aanspreking]" value=""/>
        <property name="Naam" code="[Architect.Naam]" value=""/>
        <property name="Voornaam" code="[Architect.Voornaam]" value=""/>
        <property name="Adres" code="[Architect.Adres]" value=""/>
        <property name="Postcode" code="[Architect.Postcode]" value=""/>
        <property name="Gemeente" code="[Architect.Gemeente]" value=""/>
        <property name="Telefoon" code="[Architect.Telefoon]" value=""/>
        <property name="Email" code="[Architect.Email]" value="" func="@"/>
        <property name="GSM" code="[Architect.GSM]" value=""/>
        <property name="Fax" code="[Architect.Fax]" value=""/>
        <property name="Disciplines" code="[Architect.Disciplines]" value=""/>
        <property name="Ondernemingsnummer" code="[Architect.Ondernemingsnummer]" value=""/>
        <property name="MaatschappelijkeZetel" code="[Architect.MaatschappelijkeZetel]" value=""/>
        <property name="RPR" code="[Architect.RPR]" value=""/>
        <property name="OrdeProvincie" code="[Architect.OrdeProvincie]" value=""/>
      </property>
      <property name="Interieurarchitect" code="[Interieurarchitect]" value="" link="Architecten">
        <property name="ID" code="[Interieurarchitect.ID]" value=""/>
        <property name="Bedrijfsnaam" code="[Interieurarchitect.Bedrijfsnaam]" value=""/>
        <property name="Bedrijfsvorm" code="[Interieurarchitect.Bedrijfsvorm]" value=""/>
        <property name="Aanspreking" code="[Interieurarchitect.Aanspreking]" value=""/>
        <property name="Naam" code="[Interieurarchitect.Naam]" value=""/>
        <property name="Voornaam" code="[Interieurarchitect.Voornaam]" value=""/>
        <property name="Adres" code="[Interieurarchitect.Adres]" value=""/>
        <property name="Postcode" code="[Interieurarchitect.Postcode]" value=""/>
        <property name="Gemeente" code="[Interieurarchitect.Gemeente]" value=""/>
        <property name="Telefoon" code="[Interieurarchitect.Telefoon]" value=""/>
        <property name="Email" code="[Interieurarchitect.Email]" value="" func="@"/>
        <property name="GSM" code="[Interieurarchitect.GSM]" value=""/>
        <property name="Fax" code="[Interieurarchitect.Fax]" value=""/>
        <property name="Disciplines" code="[Interieurarchitect.Disciplines]" value=""/>
        <property name="Ondernemingsnummer" code="[Interieurarchitect.Ondernemingsnummer]" value=""/>
        <property name="MaatschappelijkeZetel" code="[Interieurarchitect.MaatschappelijkeZetel]" value=""/>
        <property name="RPR" code="[Interieurarchitect.RPR]" value=""/>
        <property name="OrdeProvincie" code="[Interieurarchitect.OrdeProvincie]" value=""/>
      </property>
      <property name="Tuin_en_landschapsarchitect" code="[Tuin_en_landschapsarchitect]" value="" link="Architecten">
        <property name="ID" code="[Tuin_en_landschapsarchitect.ID]" value=""/>
        <property name="Bedrijfsnaam" code="[Tuin_en_landschapsarchitect.Bedrijfsnaam]" value=""/>
        <property name="Bedrijfsvorm" code="[Tuin_en_landschapsarchitect.Bedrijfsvorm]" value=""/>
        <property name="Aanspreking" code="[Tuin_en_landschapsarchitect.Aanspreking]" value=""/>
        <property name="Naam" code="[Tuin_en_landschapsarchitect.Naam]" value=""/>
        <property name="Voornaam" code="[Tuin_en_landschapsarchitect.Voornaam]" value=""/>
        <property name="Adres" code="[Tuin_en_landschapsarchitect.Adres]" value=""/>
        <property name="Postcode" code="[Tuin_en_landschapsarchitect.Postcode]" value=""/>
        <property name="Gemeente" code="[Tuin_en_landschapsarchitect.Gemeente]" value=""/>
        <property name="Telefoon" code="[Tuin_en_landschapsarchitect.Telefoon]" value=""/>
        <property name="Email" code="[Tuin_en_landschapsarchitect.Email]" value="" func="@"/>
        <property name="GSM" code="[Tuin_en_landschapsarchitect.GSM]" value=""/>
        <property name="Fax" code="[Tuin_en_landschapsarchitect.Fax]" value=""/>
        <property name="Disciplines" code="[Tuin_en_landschapsarchitect.Disciplines]" value=""/>
        <property name="Ondernemingsnummer" code="[Tuin_en_landschapsarchitect.Ondernemingsnummer]" value=""/>
        <property name="MaatschappelijkeZetel" code="[Tuin_en_landschapsarchitect.MaatschappelijkeZetel]" value=""/>
        <property name="RPR" code="[Tuin_en_landschapsarchitect.RPR]" value=""/>
        <property name="OrdeProvincie" code="[Tuin_en_landschapsarchitect.OrdeProvincie]" value=""/>
      </property>
    </group>
    <property name="ProjectLeider" code="[ProjectLeider]" value="" link="Medewerkers">
      <property name="ID" code="[ProjectLeider.ID]" value=""/>
      <property name="Naam" code="[ProjectLeider.Naam]" value=""/>
      <property name="Voornaam" code="[ProjectLeider.Voornaam]" value=""/>
      <property name="Functie" code="[ProjectLeider.Functie]" value=""/>
      <property name="Email" code="[ProjectLeider.Email]" value="" func="@"/>
    </property>
    <group name="Aannemers">
      <property name="Aannemer_Grondwerken" code="[Aannemer_Grondwerken]" value="" link="Aannemers">
        <property name="ID" code="[Aannemer_Grondwerken.ID]" value=""/>
        <property name="Bedrijfsnaam" code="[Aannemer_Grondwerken.Bedrijfsnaam]" value=""/>
        <property name="Bedrijfsvorm" code="[Aannemer_Grondwerken.Bedrijfsvorm]" value=""/>
        <property name="Aanspreking" code="[Aannemer_Grondwerken.Aanspreking]" value=""/>
        <property name="Naam" code="[Aannemer_Grondwerken.Naam]" value=""/>
        <property name="Voornaam" code="[Aannemer_Grondwerken.Voornaam]" value=""/>
        <property name="Adres" code="[Aannemer_Grondwerken.Adres]" value=""/>
        <property name="Postcode" code="[Aannemer_Grondwerken.Postcode]" value=""/>
        <property name="Gemeente" code="[Aannemer_Grondwerken.Gemeente]" value=""/>
        <property name="Telefoon" code="[Aannemer_Grondwerken.Telefoon]" value=""/>
        <property name="Email" code="[Aannemer_Grondwerken.Email]" value="" func="@"/>
        <property name="GSM" code="[Aannemer_Grondwerken.GSM]" value=""/>
        <property name="Fax" code="[Aannemer_Grondwerken.Fax]" value=""/>
        <property name="Ondernemingsnummer" code="[Aannemer_Grondwerken.Ondernemingsnummer]" value=""/>
        <property name="MaatschappelijkeZetel" code="[Aannemer_Grondwerken.MaatschappelijkeZetel]" value=""/>
        <property name="Klasse" code="[Aannemer_Grondwerken.Klasse]" value=""/>
        <property name="Disciplines" code="[Aannemer_Grondwerken.Disciplines]" value=""/>
      </property>
      <property name="Aannemer_Ruwbouw" code="[Aannemer_Ruwbouw]" value="" link="Aannemers">
        <property name="ID" code="[Aannemer_Ruwbouw.ID]" value=""/>
        <property name="Bedrijfsnaam" code="[Aannemer_Ruwbouw.Bedrijfsnaam]" value=""/>
        <property name="Bedrijfsvorm" code="[Aannemer_Ruwbouw.Bedrijfsvorm]" value=""/>
        <property name="Aanspreking" code="[Aannemer_Ruwbouw.Aanspreking]" value=""/>
        <property name="Naam" code="[Aannemer_Ruwbouw.Naam]" value=""/>
        <property name="Voornaam" code="[Aannemer_Ruwbouw.Voornaam]" value=""/>
        <property name="Adres" code="[Aannemer_Ruwbouw.Adres]" value=""/>
        <property name="Postcode" code="[Aannemer_Ruwbouw.Postcode]" value=""/>
        <property name="Gemeente" code="[Aannemer_Ruwbouw.Gemeente]" value=""/>
        <property name="Telefoon" code="[Aannemer_Ruwbouw.Telefoon]" value=""/>
        <property name="Email" code="[Aannemer_Ruwbouw.Email]" value="" func="@"/>
        <property name="GSM" code="[Aannemer_Ruwbouw.GSM]" value=""/>
        <property name="Fax" code="[Aannemer_Ruwbouw.Fax]" value=""/>
        <property name="Ondernemingsnummer" code="[Aannemer_Ruwbouw.Ondernemingsnummer]" value=""/>
        <property name="MaatschappelijkeZetel" code="[Aannemer_Ruwbouw.MaatschappelijkeZetel]" value=""/>
        <property name="Klasse" code="[Aannemer_Ruwbouw.Klasse]" value=""/>
        <property name="Disciplines" code="[Aannemer_Ruwbouw.Disciplines]" value=""/>
      </property>
      <property name="Aannemer_Dakwerken" code="[Aannemer_Dakwerken]" value="" link="Aannemers">
        <property name="ID" code="[Aannemer_Dakwerken.ID]" value=""/>
        <property name="Bedrijfsnaam" code="[Aannemer_Dakwerken.Bedrijfsnaam]" value=""/>
        <property name="Bedrijfsvorm" code="[Aannemer_Dakwerken.Bedrijfsvorm]" value=""/>
        <property name="Aanspreking" code="[Aannemer_Dakwerken.Aanspreking]" value=""/>
        <property name="Naam" code="[Aannemer_Dakwerken.Naam]" value=""/>
        <property name="Voornaam" code="[Aannemer_Dakwerken.Voornaam]" value=""/>
        <property name="Adres" code="[Aannemer_Dakwerken.Adres]" value=""/>
        <property name="Postcode" code="[Aannemer_Dakwerken.Postcode]" value=""/>
        <property name="Gemeente" code="[Aannemer_Dakwerken.Gemeente]" value=""/>
        <property name="Telefoon" code="[Aannemer_Dakwerken.Telefoon]" value=""/>
        <property name="Email" code="[Aannemer_Dakwerken.Email]" value="" func="@"/>
        <property name="GSM" code="[Aannemer_Dakwerken.GSM]" value=""/>
        <property name="Fax" code="[Aannemer_Dakwerken.Fax]" value=""/>
        <property name="Ondernemingsnummer" code="[Aannemer_Dakwerken.Ondernemingsnummer]" value=""/>
        <property name="MaatschappelijkeZetel" code="[Aannemer_Dakwerken.MaatschappelijkeZetel]" value=""/>
        <property name="Klasse" code="[Aannemer_Dakwerken.Klasse]" value=""/>
        <property name="Disciplines" code="[Aannemer_Dakwerken.Disciplines]" value=""/>
      </property>
      <property name="Aannemer_Schrijnwerk" code="[Aannemer_Schrijnwerk]" value="" link="Aannemers">
        <property name="ID" code="[Aannemer_Schrijnwerk.ID]" value=""/>
        <property name="Bedrijfsnaam" code="[Aannemer_Schrijnwerk.Bedrijfsnaam]" value=""/>
        <property name="Bedrijfsvorm" code="[Aannemer_Schrijnwerk.Bedrijfsvorm]" value=""/>
        <property name="Aanspreking" code="[Aannemer_Schrijnwerk.Aanspreking]" value=""/>
        <property name="Naam" code="[Aannemer_Schrijnwerk.Naam]" value=""/>
        <property name="Voornaam" code="[Aannemer_Schrijnwerk.Voornaam]" value=""/>
        <property name="Adres" code="[Aannemer_Schrijnwerk.Adres]" value=""/>
        <property name="Postcode" code="[Aannemer_Schrijnwerk.Postcode]" value=""/>
        <property name="Gemeente" code="[Aannemer_Schrijnwerk.Gemeente]" value=""/>
        <property name="Telefoon" code="[Aannemer_Schrijnwerk.Telefoon]" value=""/>
        <property name="Email" code="[Aannemer_Schrijnwerk.Email]" value="" func="@"/>
        <property name="GSM" code="[Aannemer_Schrijnwerk.GSM]" value=""/>
        <property name="Fax" code="[Aannemer_Schrijnwerk.Fax]" value=""/>
        <property name="Ondernemingsnummer" code="[Aannemer_Schrijnwerk.Ondernemingsnummer]" value=""/>
        <property name="MaatschappelijkeZetel" code="[Aannemer_Schrijnwerk.MaatschappelijkeZetel]" value=""/>
        <property name="Klasse" code="[Aannemer_Schrijnwerk.Klasse]" value=""/>
        <property name="Disciplines" code="[Aannemer_Schrijnwerk.Disciplines]" value=""/>
      </property>
      <property name="Aannemer_Elektra" code="[Aannemer_Elektra]" value="" link="Aannemers">
        <property name="ID" code="[Aannemer_Elektra.ID]" value=""/>
        <property name="Bedrijfsnaam" code="[Aannemer_Elektra.Bedrijfsnaam]" value=""/>
        <property name="Bedrijfsvorm" code="[Aannemer_Elektra.Bedrijfsvorm]" value=""/>
        <property name="Aanspreking" code="[Aannemer_Elektra.Aanspreking]" value=""/>
        <property name="Naam" code="[Aannemer_Elektra.Naam]" value=""/>
        <property name="Voornaam" code="[Aannemer_Elektra.Voornaam]" value=""/>
        <property name="Adres" code="[Aannemer_Elektra.Adres]" value=""/>
        <property name="Postcode" code="[Aannemer_Elektra.Postcode]" value=""/>
        <property name="Gemeente" code="[Aannemer_Elektra.Gemeente]" value=""/>
        <property name="Telefoon" code="[Aannemer_Elektra.Telefoon]" value=""/>
        <property name="Email" code="[Aannemer_Elektra.Email]" value="" func="@"/>
        <property name="GSM" code="[Aannemer_Elektra.GSM]" value=""/>
        <property name="Fax" code="[Aannemer_Elektra.Fax]" value=""/>
        <property name="Ondernemingsnummer" code="[Aannemer_Elektra.Ondernemingsnummer]" value=""/>
        <property name="MaatschappelijkeZetel" code="[Aannemer_Elektra.MaatschappelijkeZetel]" value=""/>
        <property name="Klasse" code="[Aannemer_Elektra.Klasse]" value=""/>
        <property name="Disciplines" code="[Aannemer_Elektra.Disciplines]" value=""/>
      </property>
      <property name="Aannemer_Pleisterwerk" code="[Aannemer_Pleisterwerk]" value="" link="Aannemers">
        <property name="ID" code="[Aannemer_Pleisterwerk.ID]" value=""/>
        <property name="Bedrijfsnaam" code="[Aannemer_Pleisterwerk.Bedrijfsnaam]" value=""/>
        <property name="Bedrijfsvorm" code="[Aannemer_Pleisterwerk.Bedrijfsvorm]" value=""/>
        <property name="Aanspreking" code="[Aannemer_Pleisterwerk.Aanspreking]" value=""/>
        <property name="Naam" code="[Aannemer_Pleisterwerk.Naam]" value=""/>
        <property name="Voornaam" code="[Aannemer_Pleisterwerk.Voornaam]" value=""/>
        <property name="Adres" code="[Aannemer_Pleisterwerk.Adres]" value=""/>
        <property name="Postcode" code="[Aannemer_Pleisterwerk.Postcode]" value=""/>
        <property name="Gemeente" code="[Aannemer_Pleisterwerk.Gemeente]" value=""/>
        <property name="Telefoon" code="[Aannemer_Pleisterwerk.Telefoon]" value=""/>
        <property name="Email" code="[Aannemer_Pleisterwerk.Email]" value="" func="@"/>
        <property name="GSM" code="[Aannemer_Pleisterwerk.GSM]" value=""/>
        <property name="Fax" code="[Aannemer_Pleisterwerk.Fax]" value=""/>
        <property name="Ondernemingsnummer" code="[Aannemer_Pleisterwerk.Ondernemingsnummer]" value=""/>
        <property name="MaatschappelijkeZetel" code="[Aannemer_Pleisterwerk.MaatschappelijkeZetel]" value=""/>
        <property name="Klasse" code="[Aannemer_Pleisterwerk.Klasse]" value=""/>
        <property name="Disciplines" code="[Aannemer_Pleisterwerk.Disciplines]" value=""/>
      </property>
      <property name="Aannemer_Sanitair" code="[Aannemer_Sanitair]" value="" link="Aannemers">
        <property name="ID" code="[Aannemer_Sanitair.ID]" value=""/>
        <property name="Bedrijfsnaam" code="[Aannemer_Sanitair.Bedrijfsnaam]" value=""/>
        <property name="Bedrijfsvorm" code="[Aannemer_Sanitair.Bedrijfsvorm]" value=""/>
        <property name="Aanspreking" code="[Aannemer_Sanitair.Aanspreking]" value=""/>
        <property name="Naam" code="[Aannemer_Sanitair.Naam]" value=""/>
        <property name="Voornaam" code="[Aannemer_Sanitair.Voornaam]" value=""/>
        <property name="Adres" code="[Aannemer_Sanitair.Adres]" value=""/>
        <property name="Postcode" code="[Aannemer_Sanitair.Postcode]" value=""/>
        <property name="Gemeente" code="[Aannemer_Sanitair.Gemeente]" value=""/>
        <property name="Telefoon" code="[Aannemer_Sanitair.Telefoon]" value=""/>
        <property name="Email" code="[Aannemer_Sanitair.Email]" value="" func="@"/>
        <property name="GSM" code="[Aannemer_Sanitair.GSM]" value=""/>
        <property name="Fax" code="[Aannemer_Sanitair.Fax]" value=""/>
        <property name="Ondernemingsnummer" code="[Aannemer_Sanitair.Ondernemingsnummer]" value=""/>
        <property name="MaatschappelijkeZetel" code="[Aannemer_Sanitair.MaatschappelijkeZetel]" value=""/>
        <property name="Klasse" code="[Aannemer_Sanitair.Klasse]" value=""/>
        <property name="Disciplines" code="[Aannemer_Sanitair.Disciplines]" value=""/>
      </property>
      <property name="Aannemer_Vloeren" code="[Aannemer_Vloeren]" value="" link="Aannemers">
        <property name="ID" code="[Aannemer_Vloeren.ID]" value=""/>
        <property name="Bedrijfsnaam" code="[Aannemer_Vloeren.Bedrijfsnaam]" value=""/>
        <property name="Bedrijfsvorm" code="[Aannemer_Vloeren.Bedrijfsvorm]" value=""/>
        <property name="Aanspreking" code="[Aannemer_Vloeren.Aanspreking]" value=""/>
        <property name="Naam" code="[Aannemer_Vloeren.Naam]" value=""/>
        <property name="Voornaam" code="[Aannemer_Vloeren.Voornaam]" value=""/>
        <property name="Adres" code="[Aannemer_Vloeren.Adres]" value=""/>
        <property name="Postcode" code="[Aannemer_Vloeren.Postcode]" value=""/>
        <property name="Gemeente" code="[Aannemer_Vloeren.Gemeente]" value=""/>
        <property name="Telefoon" code="[Aannemer_Vloeren.Telefoon]" value=""/>
        <property name="Email" code="[Aannemer_Vloeren.Email]" value="" func="@"/>
        <property name="GSM" code="[Aannemer_Vloeren.GSM]" value=""/>
        <property name="Fax" code="[Aannemer_Vloeren.Fax]" value=""/>
        <property name="Ondernemingsnummer" code="[Aannemer_Vloeren.Ondernemingsnummer]" value=""/>
        <property name="MaatschappelijkeZetel" code="[Aannemer_Vloeren.MaatschappelijkeZetel]" value=""/>
        <property name="Klasse" code="[Aannemer_Vloeren.Klasse]" value=""/>
        <property name="Disciplines" code="[Aannemer_Vloeren.Disciplines]" value=""/>
      </property>
      <property name="Aannemer_Verwarming" code="[Aannemer_Verwarming]" value="" link="Aannemers">
        <property name="ID" code="[Aannemer_Verwarming.ID]" value=""/>
        <property name="Bedrijfsnaam" code="[Aannemer_Verwarming.Bedrijfsnaam]" value=""/>
        <property name="Bedrijfsvorm" code="[Aannemer_Verwarming.Bedrijfsvorm]" value=""/>
        <property name="Aanspreking" code="[Aannemer_Verwarming.Aanspreking]" value=""/>
        <property name="Naam" code="[Aannemer_Verwarming.Naam]" value=""/>
        <property name="Voornaam" code="[Aannemer_Verwarming.Voornaam]" value=""/>
        <property name="Adres" code="[Aannemer_Verwarming.Adres]" value=""/>
        <property name="Postcode" code="[Aannemer_Verwarming.Postcode]" value=""/>
        <property name="Gemeente" code="[Aannemer_Verwarming.Gemeente]" value=""/>
        <property name="Telefoon" code="[Aannemer_Verwarming.Telefoon]" value=""/>
        <property name="Email" code="[Aannemer_Verwarming.Email]" value="" func="@"/>
        <property name="GSM" code="[Aannemer_Verwarming.GSM]" value=""/>
        <property name="Fax" code="[Aannemer_Verwarming.Fax]" value=""/>
        <property name="Ondernemingsnummer" code="[Aannemer_Verwarming.Ondernemingsnummer]" value=""/>
        <property name="MaatschappelijkeZetel" code="[Aannemer_Verwarming.MaatschappelijkeZetel]" value=""/>
        <property name="Klasse" code="[Aannemer_Verwarming.Klasse]" value=""/>
        <property name="Disciplines" code="[Aannemer_Verwarming.Disciplines]" value=""/>
      </property>
      <property name="Aannemer_Schilderwerken" code="[Aannemer_Schilderwerken]" value="" link="Aannemers">
        <property name="ID" code="[Aannemer_Schilderwerken.ID]" value=""/>
        <property name="Bedrijfsnaam" code="[Aannemer_Schilderwerken.Bedrijfsnaam]" value=""/>
        <property name="Bedrijfsvorm" code="[Aannemer_Schilderwerken.Bedrijfsvorm]" value=""/>
        <property name="Aanspreking" code="[Aannemer_Schilderwerken.Aanspreking]" value=""/>
        <property name="Naam" code="[Aannemer_Schilderwerken.Naam]" value=""/>
        <property name="Voornaam" code="[Aannemer_Schilderwerken.Voornaam]" value=""/>
        <property name="Adres" code="[Aannemer_Schilderwerken.Adres]" value=""/>
        <property name="Postcode" code="[Aannemer_Schilderwerken.Postcode]" value=""/>
        <property name="Gemeente" code="[Aannemer_Schilderwerken.Gemeente]" value=""/>
        <property name="Telefoon" code="[Aannemer_Schilderwerken.Telefoon]" value=""/>
        <property name="Email" code="[Aannemer_Schilderwerken.Email]" value="" func="@"/>
        <property name="GSM" code="[Aannemer_Schilderwerken.GSM]" value=""/>
        <property name="Fax" code="[Aannemer_Schilderwerken.Fax]" value=""/>
        <property name="Ondernemingsnummer" code="[Aannemer_Schilderwerken.Ondernemingsnummer]" value=""/>
        <property name="MaatschappelijkeZetel" code="[Aannemer_Schilderwerken.MaatschappelijkeZetel]" value=""/>
        <property name="Klasse" code="[Aannemer_Schilderwerken.Klasse]" value=""/>
        <property name="Disciplines" code="[Aannemer_Schilderwerken.Disciplines]" value=""/>
      </property>
      <property name="Aannemer_Tuinaanleg" code="[Aannemer_Tuinaanleg]" value="" link="Aannemers">
        <property name="ID" code="[Aannemer_Tuinaanleg.ID]" value=""/>
        <property name="Bedrijfsnaam" code="[Aannemer_Tuinaanleg.Bedrijfsnaam]" value=""/>
        <property name="Bedrijfsvorm" code="[Aannemer_Tuinaanleg.Bedrijfsvorm]" value=""/>
        <property name="Aanspreking" code="[Aannemer_Tuinaanleg.Aanspreking]" value=""/>
        <property name="Naam" code="[Aannemer_Tuinaanleg.Naam]" value=""/>
        <property name="Voornaam" code="[Aannemer_Tuinaanleg.Voornaam]" value=""/>
        <property name="Adres" code="[Aannemer_Tuinaanleg.Adres]" value=""/>
        <property name="Postcode" code="[Aannemer_Tuinaanleg.Postcode]" value=""/>
        <property name="Gemeente" code="[Aannemer_Tuinaanleg.Gemeente]" value=""/>
        <property name="Telefoon" code="[Aannemer_Tuinaanleg.Telefoon]" value=""/>
        <property name="Email" code="[Aannemer_Tuinaanleg.Email]" value="" func="@"/>
        <property name="GSM" code="[Aannemer_Tuinaanleg.GSM]" value=""/>
        <property name="Fax" code="[Aannemer_Tuinaanleg.Fax]" value=""/>
        <property name="Ondernemingsnummer" code="[Aannemer_Tuinaanleg.Ondernemingsnummer]" value=""/>
        <property name="MaatschappelijkeZetel" code="[Aannemer_Tuinaanleg.MaatschappelijkeZetel]" value=""/>
        <property name="Klasse" code="[Aannemer_Tuinaanleg.Klasse]" value=""/>
        <property name="Disciplines" code="[Aannemer_Tuinaanleg.Disciplines]" value=""/>
      </property>
    </group>
    <group name="Ingenieurs">
      <property name="Ingenieur_Stabiliteit" code="[Ingenieur_Stabiliteit]" value="" link="Ingenieurs">
        <property name="ID" code="[Ingenieur_Stabiliteit.ID]" value=""/>
        <property name="Bedrijfsnaam" code="[Ingenieur_Stabiliteit.Bedrijfsnaam]" value=""/>
        <property name="Bedrijfsvorm" code="[Ingenieur_Stabiliteit.Bedrijfsvorm]" value=""/>
        <property name="Aanspreking" code="[Ingenieur_Stabiliteit.Aanspreking]" value=""/>
        <property name="Naam" code="[Ingenieur_Stabiliteit.Naam]" value=""/>
        <property name="Voornaam" code="[Ingenieur_Stabiliteit.Voornaam]" value=""/>
        <property name="Adres" code="[Ingenieur_Stabiliteit.Adres]" value=""/>
        <property name="Postcode" code="[Ingenieur_Stabiliteit.Postcode]" value=""/>
        <property name="Gemeente" code="[Ingenieur_Stabiliteit.Gemeente]" value=""/>
        <property name="Telefoon" code="[Ingenieur_Stabiliteit.Telefoon]" value=""/>
        <property name="Email" code="[Ingenieur_Stabiliteit.Email]" value="" func="@"/>
        <property name="GSM" code="[Ingenieur_Stabiliteit.GSM]" value=""/>
        <property name="Fax" code="[Ingenieur_Stabiliteit.Fax]" value=""/>
        <property name="Ondernemingsnummer" code="[Ingenieur_Stabiliteit.Ondernemingsnummer]" value=""/>
        <property name="MaatschappelijkeZetel" code="[Ingenieur_Stabiliteit.MaatschappelijkeZetel]" value=""/>
        <property name="Klasse" code="[Ingenieur_Stabiliteit.Klasse]" value=""/>
        <property name="Disciplines" code="[Ingenieur_Stabiliteit.Disciplines]" value=""/>
      </property>
      <property name="Ingenieur_Technieken" code="[Ingenieur_Technieken]" value="" link="Ingenieurs">
        <property name="ID" code="[Ingenieur_Technieken.ID]" value=""/>
        <property name="Bedrijfsnaam" code="[Ingenieur_Technieken.Bedrijfsnaam]" value=""/>
        <property name="Bedrijfsvorm" code="[Ingenieur_Technieken.Bedrijfsvorm]" value=""/>
        <property name="Aanspreking" code="[Ingenieur_Technieken.Aanspreking]" value=""/>
        <property name="Naam" code="[Ingenieur_Technieken.Naam]" value=""/>
        <property name="Voornaam" code="[Ingenieur_Technieken.Voornaam]" value=""/>
        <property name="Adres" code="[Ingenieur_Technieken.Adres]" value=""/>
        <property name="Postcode" code="[Ingenieur_Technieken.Postcode]" value=""/>
        <property name="Gemeente" code="[Ingenieur_Technieken.Gemeente]" value=""/>
        <property name="Telefoon" code="[Ingenieur_Technieken.Telefoon]" value=""/>
        <property name="Email" code="[Ingenieur_Technieken.Email]" value="" func="@"/>
        <property name="GSM" code="[Ingenieur_Technieken.GSM]" value=""/>
        <property name="Fax" code="[Ingenieur_Technieken.Fax]" value=""/>
        <property name="Ondernemingsnummer" code="[Ingenieur_Technieken.Ondernemingsnummer]" value=""/>
        <property name="MaatschappelijkeZetel" code="[Ingenieur_Technieken.MaatschappelijkeZetel]" value=""/>
        <property name="Klasse" code="[Ingenieur_Technieken.Klasse]" value=""/>
        <property name="Disciplines" code="[Ingenieur_Technieken.Disciplines]" value=""/>
      </property>
      <property name="Ingenieur_Akoestiek" code="[Ingenieur_Akoestiek]" value="" link="Ingenieurs">
        <property name="ID" code="[Ingenieur_Akoestiek.ID]" value=""/>
        <property name="Bedrijfsnaam" code="[Ingenieur_Akoestiek.Bedrijfsnaam]" value=""/>
        <property name="Bedrijfsvorm" code="[Ingenieur_Akoestiek.Bedrijfsvorm]" value=""/>
        <property name="Aanspreking" code="[Ingenieur_Akoestiek.Aanspreking]" value=""/>
        <property name="Naam" code="[Ingenieur_Akoestiek.Naam]" value=""/>
        <property name="Voornaam" code="[Ingenieur_Akoestiek.Voornaam]" value=""/>
        <property name="Adres" code="[Ingenieur_Akoestiek.Adres]" value=""/>
        <property name="Postcode" code="[Ingenieur_Akoestiek.Postcode]" value=""/>
        <property name="Gemeente" code="[Ingenieur_Akoestiek.Gemeente]" value=""/>
        <property name="Telefoon" code="[Ingenieur_Akoestiek.Telefoon]" value=""/>
        <property name="Email" code="[Ingenieur_Akoestiek.Email]" value="" func="@"/>
        <property name="GSM" code="[Ingenieur_Akoestiek.GSM]" value=""/>
        <property name="Fax" code="[Ingenieur_Akoestiek.Fax]" value=""/>
        <property name="Ondernemingsnummer" code="[Ingenieur_Akoestiek.Ondernemingsnummer]" value=""/>
        <property name="MaatschappelijkeZetel" code="[Ingenieur_Akoestiek.MaatschappelijkeZetel]" value=""/>
        <property name="Klasse" code="[Ingenieur_Akoestiek.Klasse]" value=""/>
        <property name="Disciplines" code="[Ingenieur_Akoestiek.Disciplines]" value=""/>
      </property>
    </group>
    <property name="Veiligheidscoördinatie" code="[Veiligheidscoördinatie]" value="" link="Veiligheidscoördinatie">
      <property name="ID" code="[Veiligheidscoördinatie.ID]" value=""/>
      <property name="Bedrijfsnaam" code="[Veiligheidscoördinatie.Bedrijfsnaam]" value=""/>
      <property name="Bedrijfsvorm" code="[Veiligheidscoördinatie.Bedrijfsvorm]" value=""/>
      <property name="Aanspreking" code="[Veiligheidscoördinatie.Aanspreking]" value=""/>
      <property name="Naam" code="[Veiligheidscoördinatie.Naam]" value=""/>
      <property name="Voornaam" code="[Veiligheidscoördinatie.Voornaam]" value=""/>
      <property name="Adres" code="[Veiligheidscoördinatie.Adres]" value=""/>
      <property name="Postcode" code="[Veiligheidscoördinatie.Postcode]" value=""/>
      <property name="Gemeente" code="[Veiligheidscoördinatie.Gemeente]" value=""/>
      <property name="Telefoon" code="[Veiligheidscoördinatie.Telefoon]" value=""/>
      <property name="Email" code="[Veiligheidscoördinatie.Email]" value="" func="@"/>
      <property name="GSM" code="[Veiligheidscoördinatie.GSM]" value=""/>
      <property name="Fax" code="[Veiligheidscoördinatie.Fax]" value=""/>
      <property name="Ondernemingsnummer" code="[Veiligheidscoördinatie.Ondernemingsnummer]" value=""/>
      <property name="MaatschappelijkeZetel" code="[Veiligheidscoördinatie.MaatschappelijkeZetel]" value=""/>
    </property>
    <property name="EPB" code="[EPB]" value="" link="EPB">
      <property name="ID" code="[EPB.ID]" value=""/>
      <property name="Bedrijfsnaam" code="[EPB.Bedrijfsnaam]" value=""/>
      <property name="Bedrijfsvorm" code="[EPB.Bedrijfsvorm]" value=""/>
      <property name="Aanspreking" code="[EPB.Aanspreking]" value=""/>
      <property name="Naam" code="[EPB.Naam]" value=""/>
      <property name="Voornaam" code="[EPB.Voornaam]" value=""/>
      <property name="Adres" code="[EPB.Adres]" value=""/>
      <property name="Postcode" code="[EPB.Postcode]" value=""/>
      <property name="Gemeente" code="[EPB.Gemeente]" value=""/>
      <property name="Telefoon" code="[EPB.Telefoon]" value=""/>
      <property name="Email" code="[EPB.Email]" value="" func="@"/>
      <property name="GSM" code="[EPB.GSM]" value=""/>
      <property name="Fax" code="[EPB.Fax]" value=""/>
      <property name="Ondernemingsnummer" code="[EPB.Ondernemingsnummer]" value=""/>
      <property name="MaatschappelijkeZetel" code="[EPB.MaatschappelijkeZetel]" value=""/>
    </property>
  </properties>
</datamerge>
</file>

<file path=customXml/itemProps1.xml><?xml version="1.0" encoding="utf-8"?>
<ds:datastoreItem xmlns:ds="http://schemas.openxmlformats.org/officeDocument/2006/customXml" ds:itemID="{73B1C498-A918-4AA7-9704-7D0E60D068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131</vt:i4>
      </vt:variant>
    </vt:vector>
  </HeadingPairs>
  <TitlesOfParts>
    <vt:vector size="133" baseType="lpstr">
      <vt:lpstr>Detail Elek</vt:lpstr>
      <vt:lpstr>Samenvatting Elek</vt:lpstr>
      <vt:lpstr>'Samenvatting Elek'!Afdrukbereik</vt:lpstr>
      <vt:lpstr>'Samenvatting Elek'!Afdruktitels</vt:lpstr>
      <vt:lpstr>Art_00.</vt:lpstr>
      <vt:lpstr>Art_00.10.</vt:lpstr>
      <vt:lpstr>Art_00.20.</vt:lpstr>
      <vt:lpstr>Art_00.21.</vt:lpstr>
      <vt:lpstr>Art_00.24.</vt:lpstr>
      <vt:lpstr>Art_00.25.</vt:lpstr>
      <vt:lpstr>Art_00.30.</vt:lpstr>
      <vt:lpstr>Art_00.31.</vt:lpstr>
      <vt:lpstr>Art_00.32.</vt:lpstr>
      <vt:lpstr>Art_00.33.</vt:lpstr>
      <vt:lpstr>Art_00.34.</vt:lpstr>
      <vt:lpstr>Art_00.35.</vt:lpstr>
      <vt:lpstr>Art_01.</vt:lpstr>
      <vt:lpstr>Art_01.00.</vt:lpstr>
      <vt:lpstr>Art_01.01.</vt:lpstr>
      <vt:lpstr>Art_01.02.</vt:lpstr>
      <vt:lpstr>Art_01.03.</vt:lpstr>
      <vt:lpstr>Art_01.04.</vt:lpstr>
      <vt:lpstr>Art_01.05.</vt:lpstr>
      <vt:lpstr>Art_01.06.</vt:lpstr>
      <vt:lpstr>Art_01.07.</vt:lpstr>
      <vt:lpstr>Art_01.08.</vt:lpstr>
      <vt:lpstr>Art_01.20.</vt:lpstr>
      <vt:lpstr>Art_01.21.</vt:lpstr>
      <vt:lpstr>Art_01.23.</vt:lpstr>
      <vt:lpstr>Art_01.25.</vt:lpstr>
      <vt:lpstr>Art_01.30.</vt:lpstr>
      <vt:lpstr>Art_01.31.</vt:lpstr>
      <vt:lpstr>Art_01.32.</vt:lpstr>
      <vt:lpstr>Art_01.33.</vt:lpstr>
      <vt:lpstr>Art_01.40.</vt:lpstr>
      <vt:lpstr>Art_02.</vt:lpstr>
      <vt:lpstr>Art_02.00.</vt:lpstr>
      <vt:lpstr>Art_02.80.</vt:lpstr>
      <vt:lpstr>Art_02.81.</vt:lpstr>
      <vt:lpstr>Art_02.81.10.</vt:lpstr>
      <vt:lpstr>Art_04.</vt:lpstr>
      <vt:lpstr>Art_04.00.</vt:lpstr>
      <vt:lpstr>Art_04.10.</vt:lpstr>
      <vt:lpstr>Art_04.40.</vt:lpstr>
      <vt:lpstr>Art_70.</vt:lpstr>
      <vt:lpstr>Art_70.00.</vt:lpstr>
      <vt:lpstr>Art_70.10.</vt:lpstr>
      <vt:lpstr>Art_70.11.</vt:lpstr>
      <vt:lpstr>Art_70.12.</vt:lpstr>
      <vt:lpstr>Art_70.14.</vt:lpstr>
      <vt:lpstr>Art_70.15.</vt:lpstr>
      <vt:lpstr>Art_70.20.</vt:lpstr>
      <vt:lpstr>Art_70.21.</vt:lpstr>
      <vt:lpstr>Art_70.30.</vt:lpstr>
      <vt:lpstr>Art_70.31.</vt:lpstr>
      <vt:lpstr>Art_70.32.</vt:lpstr>
      <vt:lpstr>Art_70.33.</vt:lpstr>
      <vt:lpstr>Art_70.40.</vt:lpstr>
      <vt:lpstr>Art_70.41.</vt:lpstr>
      <vt:lpstr>Art_70.43.</vt:lpstr>
      <vt:lpstr>Art_70.44.</vt:lpstr>
      <vt:lpstr>Art_70.45.</vt:lpstr>
      <vt:lpstr>Art_70.46.</vt:lpstr>
      <vt:lpstr>Art_70.50.</vt:lpstr>
      <vt:lpstr>Art_70.51.</vt:lpstr>
      <vt:lpstr>Art_70.53.</vt:lpstr>
      <vt:lpstr>Art_70.54.</vt:lpstr>
      <vt:lpstr>Art_70.56.</vt:lpstr>
      <vt:lpstr>Art_70.57.</vt:lpstr>
      <vt:lpstr>Art_70.60.</vt:lpstr>
      <vt:lpstr>Art_70.61.</vt:lpstr>
      <vt:lpstr>Art_70.62.</vt:lpstr>
      <vt:lpstr>Art_70.65.</vt:lpstr>
      <vt:lpstr>Art_71.</vt:lpstr>
      <vt:lpstr>Art_71.00.</vt:lpstr>
      <vt:lpstr>Art_71.10.</vt:lpstr>
      <vt:lpstr>Art_71.11.</vt:lpstr>
      <vt:lpstr>Art_71.13.</vt:lpstr>
      <vt:lpstr>Art_71.20.</vt:lpstr>
      <vt:lpstr>Art_71.21.</vt:lpstr>
      <vt:lpstr>Art_71.23.</vt:lpstr>
      <vt:lpstr>Art_71.30.</vt:lpstr>
      <vt:lpstr>Art_71.36.</vt:lpstr>
      <vt:lpstr>Art_71.38.</vt:lpstr>
      <vt:lpstr>Art_71.39.</vt:lpstr>
      <vt:lpstr>Art_71.40.</vt:lpstr>
      <vt:lpstr>Art_71.41.01</vt:lpstr>
      <vt:lpstr>Art_71.41.02</vt:lpstr>
      <vt:lpstr>Art_71.43.</vt:lpstr>
      <vt:lpstr>Art_72.</vt:lpstr>
      <vt:lpstr>Art_72.00.</vt:lpstr>
      <vt:lpstr>Art_72.10.</vt:lpstr>
      <vt:lpstr>Art_72.11.</vt:lpstr>
      <vt:lpstr>Art_72.12.</vt:lpstr>
      <vt:lpstr>Art_72.30.</vt:lpstr>
      <vt:lpstr>Art_72.31.</vt:lpstr>
      <vt:lpstr>Art_72.31.01.</vt:lpstr>
      <vt:lpstr>Art_72.31.02.</vt:lpstr>
      <vt:lpstr>Art_72.31.04.</vt:lpstr>
      <vt:lpstr>Art_72.50.</vt:lpstr>
      <vt:lpstr>Art_72.51.</vt:lpstr>
      <vt:lpstr>Art_72.55.</vt:lpstr>
      <vt:lpstr>Art_74.</vt:lpstr>
      <vt:lpstr>Art_74.00.</vt:lpstr>
      <vt:lpstr>Art_74.30.</vt:lpstr>
      <vt:lpstr>Art_74.31.</vt:lpstr>
      <vt:lpstr>Art_74.32.</vt:lpstr>
      <vt:lpstr>Art_74.33.</vt:lpstr>
      <vt:lpstr>Art_74.34.</vt:lpstr>
      <vt:lpstr>Art_74.35.</vt:lpstr>
      <vt:lpstr>Art_74.80.</vt:lpstr>
      <vt:lpstr>Art_77.</vt:lpstr>
      <vt:lpstr>Art_77.00.</vt:lpstr>
      <vt:lpstr>Art_77.10.</vt:lpstr>
      <vt:lpstr>Art_77.20.</vt:lpstr>
      <vt:lpstr>Art_77.30.</vt:lpstr>
      <vt:lpstr>Art_77.40.</vt:lpstr>
      <vt:lpstr>Art_77.41.</vt:lpstr>
      <vt:lpstr>Art_77.41.10</vt:lpstr>
      <vt:lpstr>Art_77.41.20</vt:lpstr>
      <vt:lpstr>Art_77.42.</vt:lpstr>
      <vt:lpstr>Art_77.42.10</vt:lpstr>
      <vt:lpstr>Art_77.42.20</vt:lpstr>
      <vt:lpstr>Art_77.60.</vt:lpstr>
      <vt:lpstr>Art_77.62.</vt:lpstr>
      <vt:lpstr>Art_77.62.10.</vt:lpstr>
      <vt:lpstr>Art_77.62.20.</vt:lpstr>
      <vt:lpstr>Art_78.</vt:lpstr>
      <vt:lpstr>Art_78.00.</vt:lpstr>
      <vt:lpstr>Art_78.10.</vt:lpstr>
      <vt:lpstr>Art_78.11.</vt:lpstr>
      <vt:lpstr>'Samenvatting Elek'!first_cell</vt:lpstr>
      <vt:lpstr>'Samenvatting Elek'!TotalLine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C3Admin Tools</dc:title>
  <dc:subject>Bill of Quantities Detail Template</dc:subject>
  <dc:creator>Desmet Donald</dc:creator>
  <cp:lastModifiedBy>Nicole Drieghe</cp:lastModifiedBy>
  <cp:revision>1</cp:revision>
  <cp:lastPrinted>2023-04-12T20:17:22Z</cp:lastPrinted>
  <dcterms:created xsi:type="dcterms:W3CDTF">1995-09-27T18:13:23Z</dcterms:created>
  <dcterms:modified xsi:type="dcterms:W3CDTF">2023-04-13T12:15:11Z</dcterms:modified>
</cp:coreProperties>
</file>