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\\srvfile2101\3P\Server\Documents\Contracts\2023\302\"/>
    </mc:Choice>
  </mc:AlternateContent>
  <xr:revisionPtr revIDLastSave="0" documentId="13_ncr:1_{4900AAB4-8EEB-4F73-B5B6-9A19DF9F5223}" xr6:coauthVersionLast="47" xr6:coauthVersionMax="47" xr10:uidLastSave="{00000000-0000-0000-0000-000000000000}"/>
  <bookViews>
    <workbookView xWindow="29610" yWindow="-15" windowWidth="28110" windowHeight="16440" activeTab="1" xr2:uid="{00000000-000D-0000-FFFF-FFFF00000000}"/>
  </bookViews>
  <sheets>
    <sheet name="Detail" sheetId="2" r:id="rId1"/>
    <sheet name="Samenvatting MS" sheetId="10" r:id="rId2"/>
  </sheets>
  <externalReferences>
    <externalReference r:id="rId3"/>
    <externalReference r:id="rId4"/>
    <externalReference r:id="rId5"/>
  </externalReferences>
  <definedNames>
    <definedName name="_C3A_Bouwheer.BouwheerNaam" localSheetId="1">'Samenvatting MS'!$C$6</definedName>
    <definedName name="_C3A_Dossiernaam" localSheetId="0">Detail!$I$3</definedName>
    <definedName name="_C3A_Dossiernaam" localSheetId="1">'Samenvatting MS'!$C$5</definedName>
    <definedName name="_C3A_Dossiernummer" localSheetId="0">Detail!$B$4</definedName>
    <definedName name="_C3A_Dossiernummer" localSheetId="1">'Samenvatting MS'!$C$3</definedName>
    <definedName name="_xlnm.Print_Area" localSheetId="1">'Samenvatting MS'!$A$1:$AA$32</definedName>
    <definedName name="_xlnm.Print_Titles" localSheetId="1">'Samenvatting MS'!$1:$1</definedName>
    <definedName name="Art_01.">Detail!$A$14:$I$14</definedName>
    <definedName name="Art_01.00.">Detail!$A$17:$I$17</definedName>
    <definedName name="Art_01.01.">Detail!$A$20:$I$21</definedName>
    <definedName name="Art_01.02.">Detail!$A$24:$I$25</definedName>
    <definedName name="Art_01.03.">Detail!$A$28:$I$29</definedName>
    <definedName name="Art_01.04.">Detail!$A$32:$I$33</definedName>
    <definedName name="Art_01.05.">Detail!$A$36:$I$37</definedName>
    <definedName name="Art_01.06.">Detail!$A$40:$I$41</definedName>
    <definedName name="Art_01.07.">Detail!#REF!</definedName>
    <definedName name="Art_01.08.">Detail!$A$44:$I$45</definedName>
    <definedName name="Art_01.10.">Detail!#REF!</definedName>
    <definedName name="Art_01.11.">Detail!#REF!</definedName>
    <definedName name="Art_01.11.10.">Detail!#REF!</definedName>
    <definedName name="Art_01.11.20.">Detail!#REF!</definedName>
    <definedName name="Art_01.12.">Detail!#REF!</definedName>
    <definedName name="Art_01.12.10.">Detail!#REF!</definedName>
    <definedName name="Art_01.12.20.">Detail!#REF!</definedName>
    <definedName name="Art_01.14.">Detail!#REF!</definedName>
    <definedName name="Art_01.14.10.">Detail!#REF!</definedName>
    <definedName name="Art_01.14.20.">Detail!#REF!</definedName>
    <definedName name="Art_01.15.">Detail!#REF!</definedName>
    <definedName name="Art_01.15.10.">Detail!#REF!</definedName>
    <definedName name="Art_01.15.20.">Detail!#REF!</definedName>
    <definedName name="Art_01.20.">Detail!$A$47:$I$47</definedName>
    <definedName name="Art_01.21.">Detail!$A$50:$I$51</definedName>
    <definedName name="Art_01.22.">Detail!$A$54:$I$55</definedName>
    <definedName name="Art_01.23.">Detail!$A$58:$I$59</definedName>
    <definedName name="Art_01.25.">Detail!$A$62:$I$63</definedName>
    <definedName name="Art_01.26.">Detail!#REF!</definedName>
    <definedName name="Art_01.30.">Detail!$A$66:$I$66</definedName>
    <definedName name="Art_01.31.">Detail!$A$69:$I$70</definedName>
    <definedName name="Art_01.32.">Detail!$A$73:$I$74</definedName>
    <definedName name="Art_01.33.">Detail!$A$77:$I$78</definedName>
    <definedName name="Art_01.40.">Detail!$A$81:$I$82</definedName>
    <definedName name="Art_02.">Detail!$A$85:$I$85</definedName>
    <definedName name="Art_02.00.">Detail!$A$88:$I$88</definedName>
    <definedName name="Art_02.10.">Detail!$A$91:$I$91</definedName>
    <definedName name="Art_02.11.">Detail!$A$94:$I$95</definedName>
    <definedName name="Art_02.12.">Detail!$A$98:$I$98</definedName>
    <definedName name="Art_02.12.10.">Detail!$A$101:$I$102</definedName>
    <definedName name="Art_02.12.20.">Detail!$A$105:$I$106</definedName>
    <definedName name="Art_02.30.">Detail!#REF!</definedName>
    <definedName name="Art_02.31.">Detail!#REF!</definedName>
    <definedName name="Art_02.32.">Detail!#REF!</definedName>
    <definedName name="Art_02.33.">Detail!#REF!</definedName>
    <definedName name="Art_02.40.">Detail!#REF!</definedName>
    <definedName name="Art_02.50.">Detail!#REF!</definedName>
    <definedName name="Art_02.52.">Detail!#REF!</definedName>
    <definedName name="Art_02.60.">Detail!#REF!</definedName>
    <definedName name="Art_02.61.">Detail!#REF!</definedName>
    <definedName name="Art_02.63.">Detail!#REF!</definedName>
    <definedName name="Art_02.64.">Detail!#REF!</definedName>
    <definedName name="Art_02.70.">Detail!#REF!</definedName>
    <definedName name="Art_02.71.">Detail!#REF!</definedName>
    <definedName name="Art_02.72.">Detail!#REF!</definedName>
    <definedName name="Art_02.80.">Detail!$A$109:$I$109</definedName>
    <definedName name="Art_02.81.">Detail!$A$112:$I$112</definedName>
    <definedName name="Art_02.81.10.">Detail!$A$115:$I$116</definedName>
    <definedName name="Art_02.82.">Detail!$A$119:$I$120</definedName>
    <definedName name="Art_03.">Detail!$A$123:$I$123</definedName>
    <definedName name="Art_03.00.">Detail!$A$126:$I$126</definedName>
    <definedName name="Art_03.20.">Detail!$A$129:$I$129</definedName>
    <definedName name="Art_03.21.">Detail!#REF!</definedName>
    <definedName name="Art_03.21.10.">Detail!#REF!</definedName>
    <definedName name="Art_03.22.20.">Detail!#REF!</definedName>
    <definedName name="Art_03.22.22.">Detail!#REF!</definedName>
    <definedName name="Art_03.30.">Detail!#REF!</definedName>
    <definedName name="Art_03.31.">Detail!#REF!</definedName>
    <definedName name="Art_03.31.10.">Detail!#REF!</definedName>
    <definedName name="Art_03.31.12.">Detail!#REF!</definedName>
    <definedName name="Art_03.31.30.">Detail!#REF!</definedName>
    <definedName name="Art_03.31.50.">Detail!#REF!</definedName>
    <definedName name="Art_03.32.">Detail!#REF!</definedName>
    <definedName name="Art_03.32.30.">Detail!#REF!</definedName>
    <definedName name="Art_03.40.">Detail!$A$129:$I$129</definedName>
    <definedName name="Art_03.41.">Detail!#REF!</definedName>
    <definedName name="Art_03.44.">Detail!$A$132:$I$132</definedName>
    <definedName name="Art_03.44.10.">Detail!#REF!</definedName>
    <definedName name="Art_03.44.11">Detail!#REF!</definedName>
    <definedName name="Art_03.44.20.">Detail!$A$135:$I$140</definedName>
    <definedName name="Art_03.45.">Detail!#REF!</definedName>
    <definedName name="Art_03.46.">Detail!#REF!</definedName>
    <definedName name="Art_03.55.">Detail!#REF!</definedName>
    <definedName name="Art_03.55.30.">Detail!#REF!</definedName>
    <definedName name="Art_03.55.31.">Detail!#REF!</definedName>
    <definedName name="Art_04.">Detail!$A$143:$I$143</definedName>
    <definedName name="Art_04.00.">Detail!$A$146:$I$146</definedName>
    <definedName name="Art_04.10.">Detail!$A$126:$I$126</definedName>
    <definedName name="Art_04.20.">Detail!$A$149:$I$150</definedName>
    <definedName name="Art_04.30.">Detail!$A$153:$I$154</definedName>
    <definedName name="Art_04.40.">Detail!$A$157:$I$158</definedName>
    <definedName name="Art_05.">Detail!#REF!</definedName>
    <definedName name="Art_05.00.">Detail!#REF!</definedName>
    <definedName name="Art_05.10.">Detail!#REF!</definedName>
    <definedName name="Art_05.12.">Detail!#REF!</definedName>
    <definedName name="Art_10.">Detail!#REF!</definedName>
    <definedName name="Art_13.">Detail!#REF!</definedName>
    <definedName name="Art_13.30.">Detail!#REF!</definedName>
    <definedName name="Art_13.31.">Detail!#REF!</definedName>
    <definedName name="Art_15.">Detail!#REF!</definedName>
    <definedName name="Art_15.20.">Detail!#REF!</definedName>
    <definedName name="Art_15.21.">Detail!#REF!</definedName>
    <definedName name="Art_15.30.">Detail!#REF!</definedName>
    <definedName name="Art_15.31.">Detail!#REF!</definedName>
    <definedName name="Art_15.31.10.">Detail!#REF!</definedName>
    <definedName name="Art_16.">Detail!#REF!</definedName>
    <definedName name="Art_16.00.">Detail!#REF!</definedName>
    <definedName name="Art_16.12.">Detail!#REF!</definedName>
    <definedName name="Art_16.12.10.">Detail!#REF!</definedName>
    <definedName name="Art_17.">Detail!#REF!</definedName>
    <definedName name="Art_17.00.">Detail!#REF!</definedName>
    <definedName name="Art_17.12.">Detail!#REF!</definedName>
    <definedName name="Art_17.12.20.">Detail!#REF!</definedName>
    <definedName name="Art_17.12.21.">Detail!#REF!</definedName>
    <definedName name="Art_17.12.22.">Detail!#REF!</definedName>
    <definedName name="Art_20.">Detail!#REF!</definedName>
    <definedName name="Art_20.25.">Detail!#REF!</definedName>
    <definedName name="Art_20.25.50.">Detail!#REF!</definedName>
    <definedName name="Art_20.25.60.">Detail!#REF!</definedName>
    <definedName name="Art_21.">Detail!#REF!</definedName>
    <definedName name="Art_21.10.">Detail!#REF!</definedName>
    <definedName name="Art_21.12.">Detail!#REF!</definedName>
    <definedName name="Art_21.12.10.">Detail!#REF!</definedName>
    <definedName name="Art_21.12.20.">Detail!#REF!</definedName>
    <definedName name="Art_26.">Detail!#REF!</definedName>
    <definedName name="Art_26.30.">Detail!#REF!</definedName>
    <definedName name="Art_26.34.">Detail!#REF!</definedName>
    <definedName name="Art_27.">Detail!#REF!</definedName>
    <definedName name="Art_27.10.">Detail!#REF!</definedName>
    <definedName name="Art_27.11.">Detail!#REF!</definedName>
    <definedName name="Art_28.">Detail!#REF!</definedName>
    <definedName name="Art_28.30.">Detail!#REF!</definedName>
    <definedName name="Art_28.31.">Detail!#REF!</definedName>
    <definedName name="Art_28.60.">Detail!#REF!</definedName>
    <definedName name="Art_28.61.">Detail!#REF!</definedName>
    <definedName name="Art_28.62.">Detail!#REF!</definedName>
    <definedName name="Art_30.20.">Detail!#REF!</definedName>
    <definedName name="Art_30.22.20.">Detail!#REF!</definedName>
    <definedName name="Art_31.">Detail!#REF!</definedName>
    <definedName name="Art_31.10.">Detail!#REF!</definedName>
    <definedName name="Art_31.30.">Detail!#REF!</definedName>
    <definedName name="Art_31.31.">Detail!#REF!</definedName>
    <definedName name="Art_31.31.10.">Detail!#REF!</definedName>
    <definedName name="Art_32.">Detail!#REF!</definedName>
    <definedName name="Art_32.20.">Detail!#REF!</definedName>
    <definedName name="Art_32.21.">Detail!#REF!</definedName>
    <definedName name="Art_34.">Detail!#REF!</definedName>
    <definedName name="Art_34.12.">Detail!#REF!</definedName>
    <definedName name="Art_34.12.20.">Detail!#REF!</definedName>
    <definedName name="Art_34.13.">Detail!#REF!</definedName>
    <definedName name="Art_34.13.10.">Detail!#REF!</definedName>
    <definedName name="Art_35.">Detail!#REF!</definedName>
    <definedName name="Art_35.20.">Detail!#REF!</definedName>
    <definedName name="Art_35.21.">Detail!#REF!</definedName>
    <definedName name="Art_35.21.20.">Detail!#REF!</definedName>
    <definedName name="Art_35.50.">Detail!#REF!</definedName>
    <definedName name="Art_35.51.">Detail!#REF!</definedName>
    <definedName name="Art_40.">Detail!$A$161:$I$161</definedName>
    <definedName name="Art_40.00.">Detail!$A$164:$I$164</definedName>
    <definedName name="Art_40.01.">Detail!$A$167:$I$167</definedName>
    <definedName name="Art_40.02.">Detail!$A$170:$I$170</definedName>
    <definedName name="Art_40.02.10.">Detail!$A$173:$I$174</definedName>
    <definedName name="Art_40.03.">Detail!$A$177:$I$177</definedName>
    <definedName name="Art_40.03.10.">Detail!$A$180:$I$181</definedName>
    <definedName name="Art_40.04.">Detail!$A$184:$I$184</definedName>
    <definedName name="Art_40.10.">Detail!$A$187:$I$187</definedName>
    <definedName name="Art_40.12.">Detail!$A$190:$I$190</definedName>
    <definedName name="Art_40.12.01.">Detail!$A$258:$I$265</definedName>
    <definedName name="Art_40.12.02.">Detail!$A$220:$I$224</definedName>
    <definedName name="Art_40.12.03.">Detail!$A$227:$I$231</definedName>
    <definedName name="Art_40.12.04.">Detail!$A$234:$I$238</definedName>
    <definedName name="Art_40.12.05.">Detail!$A$196:$I$200</definedName>
    <definedName name="Art_40.12.06.">Detail!#REF!</definedName>
    <definedName name="Art_40.12.07.">Detail!$A$241:$I$245</definedName>
    <definedName name="Art_40.12.08.">Detail!$A$248:$I$252</definedName>
    <definedName name="Art_40.12.09.">Detail!#REF!</definedName>
    <definedName name="Art_40.12.10">Detail!$A$193:$I$193</definedName>
    <definedName name="Art_40.12.10.">Detail!#REF!</definedName>
    <definedName name="Art_40.12.10.1">Detail!$A$196:$I$200</definedName>
    <definedName name="Art_40.12.10.2">Detail!$A$203:$I$207</definedName>
    <definedName name="Art_40.12.10.3">Detail!$A$210:$I$214</definedName>
    <definedName name="Art_40.12.11.">Detail!#REF!</definedName>
    <definedName name="Art_40.12.12.">Detail!#REF!</definedName>
    <definedName name="Art_40.12.20">Detail!$A$217:$I$217</definedName>
    <definedName name="Art_40.12.20.">Detail!$A$227:$I$231</definedName>
    <definedName name="Art_40.12.20.1">Detail!$A$220:$I$224</definedName>
    <definedName name="Art_40.12.20.10">Detail!#REF!</definedName>
    <definedName name="Art_40.12.20.11">Detail!#REF!</definedName>
    <definedName name="Art_40.12.20.12">Detail!#REF!</definedName>
    <definedName name="Art_40.12.20.13">Detail!#REF!</definedName>
    <definedName name="Art_40.12.20.14">Detail!#REF!</definedName>
    <definedName name="Art_40.12.20.15">Detail!#REF!</definedName>
    <definedName name="Art_40.12.20.16">Detail!#REF!</definedName>
    <definedName name="Art_40.12.20.2">Detail!$A$227:$I$231</definedName>
    <definedName name="Art_40.12.20.3">Detail!$A$234:$I$238</definedName>
    <definedName name="Art_40.12.20.4">Detail!$A$241:$I$245</definedName>
    <definedName name="Art_40.12.20.5">Detail!$A$248:$I$252</definedName>
    <definedName name="Art_40.12.20.6">Detail!#REF!</definedName>
    <definedName name="Art_40.12.20.7">Detail!#REF!</definedName>
    <definedName name="Art_40.12.20.8">Detail!#REF!</definedName>
    <definedName name="Art_40.12.20.9">Detail!#REF!</definedName>
    <definedName name="Art_40.12.30">Detail!#REF!</definedName>
    <definedName name="Art_40.12.30.">Detail!$A$220:$I$224</definedName>
    <definedName name="Art_40.12.30.1">Detail!#REF!</definedName>
    <definedName name="Art_40.12.40">Detail!$A$255:$I$255</definedName>
    <definedName name="Art_40.12.40.">Detail!$A$234:$I$238</definedName>
    <definedName name="Art_40.12.40.1">Detail!$A$258:$I$265</definedName>
    <definedName name="Art_40.12.40.2">Detail!$A$268:$I$275</definedName>
    <definedName name="Art_40.12.40.3">Detail!$A$278:$I$285</definedName>
    <definedName name="Art_40.12.40.4">Detail!$A$288:$I$295</definedName>
    <definedName name="Art_40.12.40.5">Detail!$A$298:$I$305</definedName>
    <definedName name="Art_40.12.40.6">Detail!$A$308:$I$315</definedName>
    <definedName name="Art_40.20.">Detail!$A$318:$I$318</definedName>
    <definedName name="Art_40.21.">Detail!$A$321:$I$322</definedName>
    <definedName name="Art_40.22.">Detail!$A$325:$I$326</definedName>
    <definedName name="Art_40.23.">Detail!$A$329:$I$329</definedName>
    <definedName name="Art_40.23.10.">Detail!$A$332:$I$333</definedName>
    <definedName name="Art_40.23.20.">Detail!#REF!</definedName>
    <definedName name="Art_40.23.30.">Detail!#REF!</definedName>
    <definedName name="Art_40.24.">Detail!$A$336:$I$336</definedName>
    <definedName name="Art_40.24.10.">Detail!$A$339:$I$340</definedName>
    <definedName name="Art_40.25.">Detail!$A$343:$I$344</definedName>
    <definedName name="Art_40.26.">Detail!$A$347:$I$348</definedName>
    <definedName name="Art_40.27.">Detail!$A$351:$I$352</definedName>
    <definedName name="Art_40.28.">Detail!#REF!</definedName>
    <definedName name="Art_40.29.">Detail!$A$355:$I$356</definedName>
    <definedName name="Art_40.30.">Detail!$A$359:$I$359</definedName>
    <definedName name="Art_40.32.">Detail!$A$362:$I$362</definedName>
    <definedName name="Art_40.32.10">Detail!$A$365:$I$381</definedName>
    <definedName name="Art_40.40">Detail!$A$384:$I$384</definedName>
    <definedName name="Art_40.40.10.">Detail!$A$387:$I$387</definedName>
    <definedName name="Art_40.42.">Detail!$A$390:$I$390</definedName>
    <definedName name="Art_40.42.10">Detail!$A$393:$I$394</definedName>
    <definedName name="Art_40.43.">Detail!$A$390:$I$390</definedName>
    <definedName name="Art_40.50.">Detail!#REF!</definedName>
    <definedName name="Art_40.52.">Detail!#REF!</definedName>
    <definedName name="Art_40.60.">Detail!$A$397:$I$397</definedName>
    <definedName name="Art_40.60.01">Detail!$A$397:$I$397</definedName>
    <definedName name="Art_40.60.02">Detail!$A$400:$I$400</definedName>
    <definedName name="Art_40.61">Detail!$A$403:$I$407</definedName>
    <definedName name="Art_40.61.">Detail!#REF!</definedName>
    <definedName name="Art_40.62.">[1]Detail!$A$550:$I$556</definedName>
    <definedName name="Art_40.80.">Detail!#REF!</definedName>
    <definedName name="Art_40.84.">Detail!#REF!</definedName>
    <definedName name="Art_41.">Detail!#REF!</definedName>
    <definedName name="Art_41.00.">Detail!#REF!</definedName>
    <definedName name="Art_41.10.">Detail!#REF!</definedName>
    <definedName name="Art_41.11.">Detail!#REF!</definedName>
    <definedName name="Art_41.11.20.">Detail!#REF!</definedName>
    <definedName name="Art_41.20.">Detail!#REF!</definedName>
    <definedName name="Art_41.22.">Detail!#REF!</definedName>
    <definedName name="Art_41.22.20.">Detail!#REF!</definedName>
    <definedName name="Art_42.">Detail!#REF!</definedName>
    <definedName name="Art_42.50.">Detail!#REF!</definedName>
    <definedName name="Art_42.51.">Detail!#REF!</definedName>
    <definedName name="Art_42.60.">Detail!#REF!</definedName>
    <definedName name="Art_42.61.">Detail!#REF!</definedName>
    <definedName name="Art_51.">Detail!#REF!</definedName>
    <definedName name="Art_51.50.">Detail!#REF!</definedName>
    <definedName name="Art_51.51.">Detail!#REF!</definedName>
    <definedName name="Art_51.51.10.">Detail!#REF!</definedName>
    <definedName name="Art_51.52.">Detail!#REF!</definedName>
    <definedName name="Art_51.52.10.">Detail!#REF!</definedName>
    <definedName name="Art_53.">Detail!#REF!</definedName>
    <definedName name="Art_53.00.">Detail!#REF!</definedName>
    <definedName name="Art_53.10.">Detail!#REF!</definedName>
    <definedName name="Art_53.11.">Detail!#REF!</definedName>
    <definedName name="Art_53.20.">Detail!#REF!</definedName>
    <definedName name="Art_53.21.">Detail!#REF!</definedName>
    <definedName name="Art_53.30.">Detail!#REF!</definedName>
    <definedName name="Art_53.31.">Detail!#REF!</definedName>
    <definedName name="Art_55.">Detail!#REF!</definedName>
    <definedName name="Art_55.40.">Detail!#REF!</definedName>
    <definedName name="Art_55.41.">Detail!#REF!</definedName>
    <definedName name="Art_57.">Detail!#REF!</definedName>
    <definedName name="Art_57.13.">Detail!#REF!</definedName>
    <definedName name="Art_57.13.10.">Detail!#REF!</definedName>
    <definedName name="Art_57.13.20.">Detail!#REF!</definedName>
    <definedName name="Art_60.">Detail!#REF!</definedName>
    <definedName name="Art_60.10.">Detail!#REF!</definedName>
    <definedName name="Art_60.12.">Detail!#REF!</definedName>
    <definedName name="Art_60.50.">Detail!#REF!</definedName>
    <definedName name="Art_60.51.">Detail!#REF!</definedName>
    <definedName name="Art_60.51.30.">Detail!#REF!</definedName>
    <definedName name="Art_62.">Detail!#REF!</definedName>
    <definedName name="Art_62.10.">Detail!#REF!</definedName>
    <definedName name="Art_62.42.">Detail!#REF!</definedName>
    <definedName name="Art_62.42.20.">Detail!#REF!</definedName>
    <definedName name="Art_62.50.">Detail!#REF!</definedName>
    <definedName name="Art_62.51.">Detail!#REF!</definedName>
    <definedName name="Art_65.">Detail!#REF!</definedName>
    <definedName name="Art_65.00.">Detail!#REF!</definedName>
    <definedName name="Art_65.30.">Detail!#REF!</definedName>
    <definedName name="Art_65.31.30.">Detail!#REF!</definedName>
    <definedName name="Art_65.32.">Detail!#REF!</definedName>
    <definedName name="Art_65.33.">Detail!#REF!</definedName>
    <definedName name="Art_65.50.">Detail!#REF!</definedName>
    <definedName name="Art_65.52.">Detail!#REF!</definedName>
    <definedName name="Art_65.60.">Detail!#REF!</definedName>
    <definedName name="Art_65.61.">Detail!#REF!</definedName>
    <definedName name="Art_68.">Detail!#REF!</definedName>
    <definedName name="Art_69.">Detail!#REF!</definedName>
    <definedName name="Art_70.">Detail!#REF!</definedName>
    <definedName name="Art_71.">Detail!#REF!</definedName>
    <definedName name="Art_71.10.">Detail!#REF!</definedName>
    <definedName name="Art_71.11.">Detail!#REF!</definedName>
    <definedName name="Art_71.30.">Detail!#REF!</definedName>
    <definedName name="Art_71.31.">Detail!#REF!</definedName>
    <definedName name="Art_72.">Detail!#REF!</definedName>
    <definedName name="Art_72.00.">Detail!#REF!</definedName>
    <definedName name="Art_72.10.">Detail!#REF!</definedName>
    <definedName name="Art_90.">Detail!#REF!</definedName>
    <definedName name="Art_90.11.">Detail!#REF!</definedName>
    <definedName name="Art_91.">Detail!#REF!</definedName>
    <definedName name="Art_91.42.">Detail!#REF!</definedName>
    <definedName name="Art_92.43.">Detail!#REF!</definedName>
    <definedName name="Art_92.44.">Detail!#REF!</definedName>
    <definedName name="Art_92.45.">Detail!#REF!</definedName>
    <definedName name="Art_92.46.">Detail!#REF!</definedName>
    <definedName name="auteur">Detail!$B$6</definedName>
    <definedName name="first_cell" localSheetId="1">'Samenvatting MS'!$B$14</definedName>
    <definedName name="inhoud">Detail!$D$5</definedName>
    <definedName name="meetstaat">Detail!$E$4</definedName>
    <definedName name="revisie">[2]Detail!$L$4:$L$18</definedName>
    <definedName name="Section" localSheetId="1">'Samenvatting MS'!$C$4</definedName>
    <definedName name="status">[2]Detail!$M$4:$M$9</definedName>
    <definedName name="TotalLine" localSheetId="1">'Samenvatting MS'!$B$116</definedName>
    <definedName name="uitgave">Detail!$B$5</definedName>
    <definedName name="Z_1EA1DABB_57F0_4012_99F2_78FD6D87C9A2_.wvu.Cols" localSheetId="1" hidden="1">'Samenvatting MS'!$M:$N,'Samenvatting MS'!$P:$Q,'Samenvatting MS'!$S:$T,'Samenvatting MS'!$V:$W,'Samenvatting MS'!$Y:$Z,'Samenvatting MS'!$AB:$AC</definedName>
    <definedName name="Z_1EA1DABB_57F0_4012_99F2_78FD6D87C9A2_.wvu.PrintArea" localSheetId="1" hidden="1">'Samenvatting MS'!$A$1:$AA$32</definedName>
    <definedName name="Z_1EA1DABB_57F0_4012_99F2_78FD6D87C9A2_.wvu.PrintTitles" localSheetId="1" hidden="1">'Samenvatting MS'!$1:$1</definedName>
    <definedName name="Z_1EA1DABB_57F0_4012_99F2_78FD6D87C9A2_.wvu.Rows" localSheetId="1" hidden="1">'Samenvatting MS'!$1:$1</definedName>
    <definedName name="Z_5E9F7C6D_2B9E_4634_AFF8_B0D468A179D7_.wvu.Cols" localSheetId="0" hidden="1">Detail!$K:$XFD</definedName>
    <definedName name="Z_5E9F7C6D_2B9E_4634_AFF8_B0D468A179D7_.wvu.Cols" localSheetId="1" hidden="1">'Samenvatting MS'!$K:$AC</definedName>
    <definedName name="Z_5E9F7C6D_2B9E_4634_AFF8_B0D468A179D7_.wvu.Rows" localSheetId="0" hidden="1">Detail!$1:$1,Detail!$3:$7</definedName>
    <definedName name="Z_5E9F7C6D_2B9E_4634_AFF8_B0D468A179D7_.wvu.Rows" localSheetId="1" hidden="1">'Samenvatting MS'!$1:$1</definedName>
    <definedName name="Z_685BC701_F7E6_48FC_BD29_D129DB944F46_.wvu.Cols" localSheetId="1" hidden="1">'Samenvatting MS'!$AB:$AC</definedName>
    <definedName name="Z_685BC701_F7E6_48FC_BD29_D129DB944F46_.wvu.PrintArea" localSheetId="1" hidden="1">'Samenvatting MS'!$A$1:$AA$32</definedName>
    <definedName name="Z_685BC701_F7E6_48FC_BD29_D129DB944F46_.wvu.PrintTitles" localSheetId="1" hidden="1">'Samenvatting MS'!$1:$1</definedName>
    <definedName name="Z_685BC701_F7E6_48FC_BD29_D129DB944F46_.wvu.Rows" localSheetId="1" hidden="1">'Samenvatting MS'!$1:$1</definedName>
    <definedName name="Z_FB9CF438_7C22_4175_8BD5_85F73304A945_.wvu.Cols" localSheetId="0" hidden="1">Detail!$K:$XFD</definedName>
    <definedName name="Z_FB9CF438_7C22_4175_8BD5_85F73304A945_.wvu.Cols" localSheetId="1" hidden="1">'Samenvatting MS'!$G:$G,'Samenvatting MS'!$K:$AC</definedName>
    <definedName name="Z_FB9CF438_7C22_4175_8BD5_85F73304A945_.wvu.Rows" localSheetId="0" hidden="1">Detail!$1:$1,Detail!$3:$7</definedName>
    <definedName name="Z_FB9CF438_7C22_4175_8BD5_85F73304A945_.wvu.Rows" localSheetId="1" hidden="1">'Samenvatting MS'!$1:$1</definedName>
  </definedNames>
  <calcPr calcId="191029"/>
  <customWorkbookViews>
    <customWorkbookView name="Simple" guid="{FB9CF438-7C22-4175-8BD5-85F73304A945}" includePrintSettings="0" maximized="1" xWindow="3832" yWindow="-8" windowWidth="1936" windowHeight="1056" activeSheetId="2"/>
    <customWorkbookView name="Extended" guid="{5E9F7C6D-2B9E-4634-AFF8-B0D468A179D7}" includePrintSettings="0" maximized="1" xWindow="3832" yWindow="-8" windowWidth="1936" windowHeight="105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115" i="10" l="1"/>
  <c r="AA115" i="10"/>
  <c r="W115" i="10"/>
  <c r="U115" i="10"/>
  <c r="Q115" i="10"/>
  <c r="O115" i="10"/>
  <c r="AC114" i="10"/>
  <c r="W114" i="10"/>
  <c r="Q114" i="10"/>
  <c r="AC113" i="10"/>
  <c r="AA113" i="10"/>
  <c r="W113" i="10"/>
  <c r="U113" i="10"/>
  <c r="Q113" i="10"/>
  <c r="O113" i="10"/>
  <c r="AC112" i="10"/>
  <c r="AA112" i="10"/>
  <c r="W112" i="10"/>
  <c r="U112" i="10"/>
  <c r="Q112" i="10"/>
  <c r="O112" i="10"/>
  <c r="AC111" i="10"/>
  <c r="W111" i="10"/>
  <c r="Q111" i="10"/>
  <c r="AC110" i="10"/>
  <c r="AA110" i="10"/>
  <c r="W110" i="10"/>
  <c r="U110" i="10"/>
  <c r="Q110" i="10"/>
  <c r="O110" i="10"/>
  <c r="AC109" i="10"/>
  <c r="AA109" i="10"/>
  <c r="W109" i="10"/>
  <c r="U109" i="10"/>
  <c r="Q109" i="10"/>
  <c r="O109" i="10"/>
  <c r="AC108" i="10"/>
  <c r="AA108" i="10"/>
  <c r="W108" i="10"/>
  <c r="U108" i="10"/>
  <c r="Q108" i="10"/>
  <c r="O108" i="10"/>
  <c r="AC107" i="10"/>
  <c r="W107" i="10"/>
  <c r="Q107" i="10"/>
  <c r="AC106" i="10"/>
  <c r="AA106" i="10"/>
  <c r="W106" i="10"/>
  <c r="U106" i="10"/>
  <c r="Q106" i="10"/>
  <c r="O106" i="10"/>
  <c r="AC105" i="10"/>
  <c r="AA105" i="10"/>
  <c r="W105" i="10"/>
  <c r="U105" i="10"/>
  <c r="Q105" i="10"/>
  <c r="O105" i="10"/>
  <c r="AC104" i="10"/>
  <c r="W104" i="10"/>
  <c r="Q104" i="10"/>
  <c r="AC103" i="10"/>
  <c r="W103" i="10"/>
  <c r="Q103" i="10"/>
  <c r="AC102" i="10"/>
  <c r="W102" i="10"/>
  <c r="Q102" i="10"/>
  <c r="AC101" i="10"/>
  <c r="W101" i="10"/>
  <c r="Q101" i="10"/>
  <c r="AC100" i="10"/>
  <c r="W100" i="10"/>
  <c r="Q100" i="10"/>
  <c r="AC99" i="10"/>
  <c r="AA99" i="10"/>
  <c r="W99" i="10"/>
  <c r="U99" i="10"/>
  <c r="Q99" i="10"/>
  <c r="O99" i="10"/>
  <c r="AC98" i="10"/>
  <c r="W98" i="10"/>
  <c r="Q98" i="10"/>
  <c r="AC97" i="10"/>
  <c r="AA97" i="10"/>
  <c r="W97" i="10"/>
  <c r="U97" i="10"/>
  <c r="Q97" i="10"/>
  <c r="O97" i="10"/>
  <c r="AC96" i="10"/>
  <c r="W96" i="10"/>
  <c r="Q96" i="10"/>
  <c r="AC95" i="10"/>
  <c r="W95" i="10"/>
  <c r="Q95" i="10"/>
  <c r="AC94" i="10"/>
  <c r="AA94" i="10"/>
  <c r="W94" i="10"/>
  <c r="U94" i="10"/>
  <c r="Q94" i="10"/>
  <c r="O94" i="10"/>
  <c r="AC93" i="10"/>
  <c r="W93" i="10"/>
  <c r="Q93" i="10"/>
  <c r="AC92" i="10"/>
  <c r="W92" i="10"/>
  <c r="Q92" i="10"/>
  <c r="AC91" i="10"/>
  <c r="W91" i="10"/>
  <c r="Q91" i="10"/>
  <c r="AC90" i="10"/>
  <c r="W90" i="10"/>
  <c r="Q90" i="10"/>
  <c r="AC89" i="10"/>
  <c r="W89" i="10"/>
  <c r="Q89" i="10"/>
  <c r="AC88" i="10"/>
  <c r="W88" i="10"/>
  <c r="Q88" i="10"/>
  <c r="AC87" i="10"/>
  <c r="AA87" i="10"/>
  <c r="W87" i="10"/>
  <c r="U87" i="10"/>
  <c r="Q87" i="10"/>
  <c r="O87" i="10"/>
  <c r="AC86" i="10"/>
  <c r="W86" i="10"/>
  <c r="Q86" i="10"/>
  <c r="AC85" i="10"/>
  <c r="W85" i="10"/>
  <c r="Q85" i="10"/>
  <c r="AC84" i="10"/>
  <c r="W84" i="10"/>
  <c r="Q84" i="10"/>
  <c r="AC83" i="10"/>
  <c r="W83" i="10"/>
  <c r="Q83" i="10"/>
  <c r="AC82" i="10"/>
  <c r="W82" i="10"/>
  <c r="Q82" i="10"/>
  <c r="AC81" i="10"/>
  <c r="AA81" i="10"/>
  <c r="W81" i="10"/>
  <c r="U81" i="10"/>
  <c r="Q81" i="10"/>
  <c r="O81" i="10"/>
  <c r="AC80" i="10"/>
  <c r="W80" i="10"/>
  <c r="Q80" i="10"/>
  <c r="AC79" i="10"/>
  <c r="W79" i="10"/>
  <c r="Q79" i="10"/>
  <c r="AC78" i="10"/>
  <c r="W78" i="10"/>
  <c r="Q78" i="10"/>
  <c r="AC77" i="10"/>
  <c r="AA77" i="10"/>
  <c r="W77" i="10"/>
  <c r="U77" i="10"/>
  <c r="Q77" i="10"/>
  <c r="O77" i="10"/>
  <c r="AC76" i="10"/>
  <c r="AA76" i="10"/>
  <c r="W76" i="10"/>
  <c r="U76" i="10"/>
  <c r="Q76" i="10"/>
  <c r="O76" i="10"/>
  <c r="AC75" i="10"/>
  <c r="AA75" i="10"/>
  <c r="W75" i="10"/>
  <c r="U75" i="10"/>
  <c r="Q75" i="10"/>
  <c r="O75" i="10"/>
  <c r="AC74" i="10"/>
  <c r="AA74" i="10"/>
  <c r="W74" i="10"/>
  <c r="U74" i="10"/>
  <c r="Q74" i="10"/>
  <c r="O74" i="10"/>
  <c r="AC73" i="10"/>
  <c r="W73" i="10"/>
  <c r="Q73" i="10"/>
  <c r="AC72" i="10"/>
  <c r="AA72" i="10"/>
  <c r="W72" i="10"/>
  <c r="U72" i="10"/>
  <c r="Q72" i="10"/>
  <c r="O72" i="10"/>
  <c r="AC71" i="10"/>
  <c r="W71" i="10"/>
  <c r="Q71" i="10"/>
  <c r="AC70" i="10"/>
  <c r="AA70" i="10"/>
  <c r="W70" i="10"/>
  <c r="U70" i="10"/>
  <c r="Q70" i="10"/>
  <c r="O70" i="10"/>
  <c r="AC69" i="10"/>
  <c r="AA69" i="10"/>
  <c r="W69" i="10"/>
  <c r="U69" i="10"/>
  <c r="Q69" i="10"/>
  <c r="O69" i="10"/>
  <c r="AC68" i="10"/>
  <c r="AA68" i="10"/>
  <c r="W68" i="10"/>
  <c r="U68" i="10"/>
  <c r="Q68" i="10"/>
  <c r="O68" i="10"/>
  <c r="AC67" i="10"/>
  <c r="AA67" i="10"/>
  <c r="W67" i="10"/>
  <c r="U67" i="10"/>
  <c r="Q67" i="10"/>
  <c r="O67" i="10"/>
  <c r="AC66" i="10"/>
  <c r="AA66" i="10"/>
  <c r="W66" i="10"/>
  <c r="U66" i="10"/>
  <c r="Q66" i="10"/>
  <c r="O66" i="10"/>
  <c r="AC65" i="10"/>
  <c r="AA65" i="10"/>
  <c r="W65" i="10"/>
  <c r="U65" i="10"/>
  <c r="Q65" i="10"/>
  <c r="O65" i="10"/>
  <c r="AC64" i="10"/>
  <c r="AA64" i="10"/>
  <c r="W64" i="10"/>
  <c r="U64" i="10"/>
  <c r="Q64" i="10"/>
  <c r="O64" i="10"/>
  <c r="AC63" i="10"/>
  <c r="W63" i="10"/>
  <c r="Q63" i="10"/>
  <c r="AC62" i="10"/>
  <c r="W62" i="10"/>
  <c r="Q62" i="10"/>
  <c r="AC61" i="10"/>
  <c r="W61" i="10"/>
  <c r="Q61" i="10"/>
  <c r="AC60" i="10"/>
  <c r="AA60" i="10"/>
  <c r="W60" i="10"/>
  <c r="U60" i="10"/>
  <c r="Q60" i="10"/>
  <c r="O60" i="10"/>
  <c r="AC59" i="10"/>
  <c r="AA59" i="10"/>
  <c r="W59" i="10"/>
  <c r="U59" i="10"/>
  <c r="Q59" i="10"/>
  <c r="O59" i="10"/>
  <c r="AC58" i="10"/>
  <c r="AA58" i="10"/>
  <c r="W58" i="10"/>
  <c r="U58" i="10"/>
  <c r="Q58" i="10"/>
  <c r="O58" i="10"/>
  <c r="AC57" i="10"/>
  <c r="AA57" i="10"/>
  <c r="W57" i="10"/>
  <c r="U57" i="10"/>
  <c r="Q57" i="10"/>
  <c r="O57" i="10"/>
  <c r="AC56" i="10"/>
  <c r="AA56" i="10"/>
  <c r="W56" i="10"/>
  <c r="U56" i="10"/>
  <c r="Q56" i="10"/>
  <c r="O56" i="10"/>
  <c r="AC55" i="10"/>
  <c r="W55" i="10"/>
  <c r="Q55" i="10"/>
  <c r="AC54" i="10"/>
  <c r="AA54" i="10"/>
  <c r="W54" i="10"/>
  <c r="U54" i="10"/>
  <c r="Q54" i="10"/>
  <c r="O54" i="10"/>
  <c r="AC53" i="10"/>
  <c r="AA53" i="10"/>
  <c r="W53" i="10"/>
  <c r="U53" i="10"/>
  <c r="Q53" i="10"/>
  <c r="O53" i="10"/>
  <c r="AC52" i="10"/>
  <c r="AA52" i="10"/>
  <c r="W52" i="10"/>
  <c r="U52" i="10"/>
  <c r="Q52" i="10"/>
  <c r="O52" i="10"/>
  <c r="AC51" i="10"/>
  <c r="AA51" i="10"/>
  <c r="W51" i="10"/>
  <c r="U51" i="10"/>
  <c r="Q51" i="10"/>
  <c r="O51" i="10"/>
  <c r="AC50" i="10"/>
  <c r="AA50" i="10"/>
  <c r="W50" i="10"/>
  <c r="U50" i="10"/>
  <c r="Q50" i="10"/>
  <c r="O50" i="10"/>
  <c r="AC49" i="10"/>
  <c r="AA49" i="10"/>
  <c r="W49" i="10"/>
  <c r="U49" i="10"/>
  <c r="Q49" i="10"/>
  <c r="O49" i="10"/>
  <c r="AC48" i="10"/>
  <c r="AA48" i="10"/>
  <c r="W48" i="10"/>
  <c r="U48" i="10"/>
  <c r="Q48" i="10"/>
  <c r="O48" i="10"/>
  <c r="AC47" i="10"/>
  <c r="W47" i="10"/>
  <c r="Q47" i="10"/>
  <c r="AC46" i="10"/>
  <c r="W46" i="10"/>
  <c r="Q46" i="10"/>
  <c r="AC45" i="10"/>
  <c r="AA45" i="10"/>
  <c r="W45" i="10"/>
  <c r="U45" i="10"/>
  <c r="Q45" i="10"/>
  <c r="O45" i="10"/>
  <c r="AC44" i="10"/>
  <c r="AA44" i="10"/>
  <c r="W44" i="10"/>
  <c r="U44" i="10"/>
  <c r="Q44" i="10"/>
  <c r="O44" i="10"/>
  <c r="AC43" i="10"/>
  <c r="W43" i="10"/>
  <c r="Q43" i="10"/>
  <c r="AC42" i="10"/>
  <c r="W42" i="10"/>
  <c r="Q42" i="10"/>
  <c r="AC41" i="10"/>
  <c r="AA41" i="10"/>
  <c r="W41" i="10"/>
  <c r="U41" i="10"/>
  <c r="Q41" i="10"/>
  <c r="O41" i="10"/>
  <c r="AC40" i="10"/>
  <c r="W40" i="10"/>
  <c r="Q40" i="10"/>
  <c r="AC39" i="10"/>
  <c r="AA39" i="10"/>
  <c r="W39" i="10"/>
  <c r="U39" i="10"/>
  <c r="Q39" i="10"/>
  <c r="O39" i="10"/>
  <c r="AC38" i="10"/>
  <c r="AA38" i="10"/>
  <c r="W38" i="10"/>
  <c r="U38" i="10"/>
  <c r="Q38" i="10"/>
  <c r="O38" i="10"/>
  <c r="AC37" i="10"/>
  <c r="AA37" i="10"/>
  <c r="W37" i="10"/>
  <c r="U37" i="10"/>
  <c r="Q37" i="10"/>
  <c r="O37" i="10"/>
  <c r="AC36" i="10"/>
  <c r="AA36" i="10"/>
  <c r="W36" i="10"/>
  <c r="U36" i="10"/>
  <c r="Q36" i="10"/>
  <c r="O36" i="10"/>
  <c r="AC35" i="10"/>
  <c r="AA35" i="10"/>
  <c r="W35" i="10"/>
  <c r="U35" i="10"/>
  <c r="Q35" i="10"/>
  <c r="O35" i="10"/>
  <c r="AC34" i="10"/>
  <c r="AA34" i="10"/>
  <c r="W34" i="10"/>
  <c r="U34" i="10"/>
  <c r="Q34" i="10"/>
  <c r="O34" i="10"/>
  <c r="AC33" i="10"/>
  <c r="W33" i="10"/>
  <c r="Q33" i="10"/>
  <c r="AC32" i="10"/>
  <c r="W32" i="10"/>
  <c r="Q32" i="10"/>
  <c r="AC31" i="10"/>
  <c r="W31" i="10"/>
  <c r="Q31" i="10"/>
  <c r="AC30" i="10"/>
  <c r="W30" i="10"/>
  <c r="Q30" i="10"/>
  <c r="AC29" i="10"/>
  <c r="AA29" i="10"/>
  <c r="W29" i="10"/>
  <c r="U29" i="10"/>
  <c r="Q29" i="10"/>
  <c r="O29" i="10"/>
  <c r="AC28" i="10"/>
  <c r="W28" i="10"/>
  <c r="Q28" i="10"/>
  <c r="AC27" i="10"/>
  <c r="W27" i="10"/>
  <c r="Q27" i="10"/>
  <c r="AC26" i="10"/>
  <c r="W26" i="10"/>
  <c r="Q26" i="10"/>
  <c r="AC25" i="10"/>
  <c r="W25" i="10"/>
  <c r="Q25" i="10"/>
  <c r="AC24" i="10"/>
  <c r="AA24" i="10"/>
  <c r="W24" i="10"/>
  <c r="U24" i="10"/>
  <c r="Q24" i="10"/>
  <c r="O24" i="10"/>
  <c r="AC23" i="10"/>
  <c r="W23" i="10"/>
  <c r="Q23" i="10"/>
  <c r="AC22" i="10"/>
  <c r="W22" i="10"/>
  <c r="Q22" i="10"/>
  <c r="AC21" i="10"/>
  <c r="W21" i="10"/>
  <c r="Q21" i="10"/>
  <c r="AC20" i="10"/>
  <c r="W20" i="10"/>
  <c r="Q20" i="10"/>
  <c r="AC19" i="10"/>
  <c r="W19" i="10"/>
  <c r="Q19" i="10"/>
  <c r="AC18" i="10"/>
  <c r="W18" i="10"/>
  <c r="Q18" i="10"/>
  <c r="A18" i="10"/>
  <c r="A19" i="10" s="1"/>
  <c r="A20" i="10" s="1"/>
  <c r="A21" i="10" s="1"/>
  <c r="A22" i="10" s="1"/>
  <c r="A23" i="10" s="1"/>
  <c r="A25" i="10" s="1"/>
  <c r="A26" i="10" s="1"/>
  <c r="A27" i="10" s="1"/>
  <c r="A28" i="10" s="1"/>
  <c r="A30" i="10" s="1"/>
  <c r="A31" i="10" s="1"/>
  <c r="A32" i="10" s="1"/>
  <c r="A33" i="10" s="1"/>
  <c r="A40" i="10" s="1"/>
  <c r="A42" i="10" s="1"/>
  <c r="A43" i="10" s="1"/>
  <c r="A46" i="10" s="1"/>
  <c r="A47" i="10" s="1"/>
  <c r="A55" i="10" s="1"/>
  <c r="A61" i="10" s="1"/>
  <c r="A62" i="10" s="1"/>
  <c r="A63" i="10" s="1"/>
  <c r="A71" i="10" s="1"/>
  <c r="A73" i="10" s="1"/>
  <c r="A78" i="10" s="1"/>
  <c r="A79" i="10" s="1"/>
  <c r="A80" i="10" s="1"/>
  <c r="A82" i="10" s="1"/>
  <c r="A83" i="10" s="1"/>
  <c r="A84" i="10" s="1"/>
  <c r="A85" i="10" s="1"/>
  <c r="A86" i="10" s="1"/>
  <c r="A88" i="10" s="1"/>
  <c r="A89" i="10" s="1"/>
  <c r="A90" i="10" s="1"/>
  <c r="A91" i="10" s="1"/>
  <c r="A92" i="10" s="1"/>
  <c r="A93" i="10" s="1"/>
  <c r="A95" i="10" s="1"/>
  <c r="A96" i="10" s="1"/>
  <c r="A98" i="10" s="1"/>
  <c r="A100" i="10" s="1"/>
  <c r="A101" i="10" s="1"/>
  <c r="A102" i="10" s="1"/>
  <c r="A103" i="10" s="1"/>
  <c r="A104" i="10" s="1"/>
  <c r="A107" i="10" s="1"/>
  <c r="A111" i="10" s="1"/>
  <c r="A114" i="10" s="1"/>
  <c r="AC17" i="10"/>
  <c r="W17" i="10"/>
  <c r="Q17" i="10"/>
  <c r="AC16" i="10"/>
  <c r="AA16" i="10"/>
  <c r="W16" i="10"/>
  <c r="U16" i="10"/>
  <c r="Q16" i="10"/>
  <c r="O16" i="10"/>
  <c r="AC15" i="10"/>
  <c r="AA15" i="10"/>
  <c r="W15" i="10"/>
  <c r="U15" i="10"/>
  <c r="Q15" i="10"/>
  <c r="O15" i="10"/>
  <c r="AC14" i="10"/>
  <c r="AA14" i="10"/>
  <c r="W14" i="10"/>
  <c r="U14" i="10"/>
  <c r="Q14" i="10"/>
  <c r="O14" i="10"/>
  <c r="B11" i="10"/>
  <c r="B10" i="10"/>
  <c r="E9" i="10"/>
  <c r="B9" i="10"/>
  <c r="I8" i="10"/>
  <c r="B6" i="10"/>
  <c r="D5" i="10"/>
  <c r="B5" i="10"/>
  <c r="E4" i="10"/>
  <c r="B4" i="10"/>
  <c r="I3" i="10"/>
  <c r="B114" i="10"/>
  <c r="E96" i="10"/>
  <c r="E95" i="10"/>
  <c r="F80" i="10"/>
  <c r="F79" i="10"/>
  <c r="F78" i="10"/>
  <c r="B77" i="10"/>
  <c r="C74" i="10"/>
  <c r="B73" i="10"/>
  <c r="E63" i="10"/>
  <c r="E62" i="10"/>
  <c r="E61" i="10"/>
  <c r="C54" i="10"/>
  <c r="E43" i="10"/>
  <c r="E42" i="10"/>
  <c r="B37" i="10"/>
  <c r="C23" i="10"/>
  <c r="C22" i="10"/>
  <c r="C21" i="10"/>
  <c r="C20" i="10"/>
  <c r="C19" i="10"/>
  <c r="C18" i="10"/>
  <c r="C17" i="10"/>
  <c r="F61" i="10"/>
  <c r="D20" i="10"/>
  <c r="C110" i="10"/>
  <c r="D96" i="10"/>
  <c r="D95" i="10"/>
  <c r="E80" i="10"/>
  <c r="E79" i="10"/>
  <c r="E78" i="10"/>
  <c r="B74" i="10"/>
  <c r="C69" i="10"/>
  <c r="D63" i="10"/>
  <c r="D62" i="10"/>
  <c r="D61" i="10"/>
  <c r="F55" i="10"/>
  <c r="B54" i="10"/>
  <c r="C51" i="10"/>
  <c r="D43" i="10"/>
  <c r="D42" i="10"/>
  <c r="C24" i="10"/>
  <c r="B23" i="10"/>
  <c r="B22" i="10"/>
  <c r="B21" i="10"/>
  <c r="B20" i="10"/>
  <c r="B19" i="10"/>
  <c r="B18" i="10"/>
  <c r="B17" i="10"/>
  <c r="E32" i="10"/>
  <c r="C89" i="10"/>
  <c r="E73" i="10"/>
  <c r="C37" i="10"/>
  <c r="D17" i="10"/>
  <c r="F111" i="10"/>
  <c r="B110" i="10"/>
  <c r="C106" i="10"/>
  <c r="C96" i="10"/>
  <c r="C95" i="10"/>
  <c r="D80" i="10"/>
  <c r="D79" i="10"/>
  <c r="D78" i="10"/>
  <c r="B69" i="10"/>
  <c r="C63" i="10"/>
  <c r="C62" i="10"/>
  <c r="C61" i="10"/>
  <c r="E55" i="10"/>
  <c r="B51" i="10"/>
  <c r="C43" i="10"/>
  <c r="C42" i="10"/>
  <c r="F28" i="10"/>
  <c r="F27" i="10"/>
  <c r="F26" i="10"/>
  <c r="F25" i="10"/>
  <c r="B24" i="10"/>
  <c r="F43" i="10"/>
  <c r="D19" i="10"/>
  <c r="E111" i="10"/>
  <c r="F107" i="10"/>
  <c r="B106" i="10"/>
  <c r="C97" i="10"/>
  <c r="B96" i="10"/>
  <c r="B95" i="10"/>
  <c r="C80" i="10"/>
  <c r="C79" i="10"/>
  <c r="C78" i="10"/>
  <c r="B63" i="10"/>
  <c r="B62" i="10"/>
  <c r="B61" i="10"/>
  <c r="D55" i="10"/>
  <c r="C44" i="10"/>
  <c r="B43" i="10"/>
  <c r="B42" i="10"/>
  <c r="E28" i="10"/>
  <c r="E27" i="10"/>
  <c r="E26" i="10"/>
  <c r="E25" i="10"/>
  <c r="E33" i="10"/>
  <c r="E31" i="10"/>
  <c r="B101" i="10"/>
  <c r="C92" i="10"/>
  <c r="B46" i="10"/>
  <c r="F23" i="10"/>
  <c r="F17" i="10"/>
  <c r="D111" i="10"/>
  <c r="E107" i="10"/>
  <c r="F98" i="10"/>
  <c r="B97" i="10"/>
  <c r="C81" i="10"/>
  <c r="B80" i="10"/>
  <c r="B79" i="10"/>
  <c r="B78" i="10"/>
  <c r="C55" i="10"/>
  <c r="B44" i="10"/>
  <c r="C38" i="10"/>
  <c r="D28" i="10"/>
  <c r="D27" i="10"/>
  <c r="D26" i="10"/>
  <c r="D25" i="10"/>
  <c r="C16" i="10"/>
  <c r="C93" i="10"/>
  <c r="C88" i="10"/>
  <c r="D23" i="10"/>
  <c r="C111" i="10"/>
  <c r="D107" i="10"/>
  <c r="E98" i="10"/>
  <c r="F86" i="10"/>
  <c r="F85" i="10"/>
  <c r="F84" i="10"/>
  <c r="F83" i="10"/>
  <c r="F82" i="10"/>
  <c r="B81" i="10"/>
  <c r="C75" i="10"/>
  <c r="B55" i="10"/>
  <c r="B38" i="10"/>
  <c r="C28" i="10"/>
  <c r="C27" i="10"/>
  <c r="C26" i="10"/>
  <c r="C25" i="10"/>
  <c r="C90" i="10"/>
  <c r="C40" i="10"/>
  <c r="F42" i="10"/>
  <c r="C112" i="10"/>
  <c r="B111" i="10"/>
  <c r="C107" i="10"/>
  <c r="D98" i="10"/>
  <c r="E86" i="10"/>
  <c r="E85" i="10"/>
  <c r="E84" i="10"/>
  <c r="E83" i="10"/>
  <c r="E82" i="10"/>
  <c r="B75" i="10"/>
  <c r="C70" i="10"/>
  <c r="C52" i="10"/>
  <c r="C29" i="10"/>
  <c r="B28" i="10"/>
  <c r="B27" i="10"/>
  <c r="B26" i="10"/>
  <c r="B25" i="10"/>
  <c r="C15" i="10"/>
  <c r="B109" i="10"/>
  <c r="F19" i="10"/>
  <c r="B112" i="10"/>
  <c r="C108" i="10"/>
  <c r="B107" i="10"/>
  <c r="C98" i="10"/>
  <c r="D86" i="10"/>
  <c r="D85" i="10"/>
  <c r="D84" i="10"/>
  <c r="D83" i="10"/>
  <c r="D82" i="10"/>
  <c r="F71" i="10"/>
  <c r="B70" i="10"/>
  <c r="C67" i="10"/>
  <c r="B52" i="10"/>
  <c r="F33" i="10"/>
  <c r="F32" i="10"/>
  <c r="F31" i="10"/>
  <c r="F30" i="10"/>
  <c r="B29" i="10"/>
  <c r="B15" i="10"/>
  <c r="E30" i="10"/>
  <c r="C105" i="10"/>
  <c r="C91" i="10"/>
  <c r="B68" i="10"/>
  <c r="B47" i="10"/>
  <c r="F22" i="10"/>
  <c r="B108" i="10"/>
  <c r="C99" i="10"/>
  <c r="B98" i="10"/>
  <c r="C86" i="10"/>
  <c r="C85" i="10"/>
  <c r="C84" i="10"/>
  <c r="C83" i="10"/>
  <c r="C82" i="10"/>
  <c r="E71" i="10"/>
  <c r="B67" i="10"/>
  <c r="C45" i="10"/>
  <c r="F18" i="10"/>
  <c r="B60" i="10"/>
  <c r="D21" i="10"/>
  <c r="F104" i="10"/>
  <c r="F103" i="10"/>
  <c r="F102" i="10"/>
  <c r="F101" i="10"/>
  <c r="F100" i="10"/>
  <c r="B99" i="10"/>
  <c r="C87" i="10"/>
  <c r="B86" i="10"/>
  <c r="B85" i="10"/>
  <c r="B84" i="10"/>
  <c r="B83" i="10"/>
  <c r="B82" i="10"/>
  <c r="D71" i="10"/>
  <c r="C59" i="10"/>
  <c r="F47" i="10"/>
  <c r="F46" i="10"/>
  <c r="B45" i="10"/>
  <c r="C39" i="10"/>
  <c r="D33" i="10"/>
  <c r="D32" i="10"/>
  <c r="D31" i="10"/>
  <c r="D30" i="10"/>
  <c r="E40" i="10"/>
  <c r="B31" i="10"/>
  <c r="E104" i="10"/>
  <c r="E103" i="10"/>
  <c r="E102" i="10"/>
  <c r="E101" i="10"/>
  <c r="E100" i="10"/>
  <c r="F93" i="10"/>
  <c r="F92" i="10"/>
  <c r="F91" i="10"/>
  <c r="F90" i="10"/>
  <c r="F89" i="10"/>
  <c r="F88" i="10"/>
  <c r="B87" i="10"/>
  <c r="C76" i="10"/>
  <c r="C71" i="10"/>
  <c r="B59" i="10"/>
  <c r="E47" i="10"/>
  <c r="E46" i="10"/>
  <c r="F40" i="10"/>
  <c r="B39" i="10"/>
  <c r="C33" i="10"/>
  <c r="C32" i="10"/>
  <c r="C31" i="10"/>
  <c r="C30" i="10"/>
  <c r="B33" i="10"/>
  <c r="B103" i="10"/>
  <c r="F21" i="10"/>
  <c r="F63" i="10"/>
  <c r="D22" i="10"/>
  <c r="C113" i="10"/>
  <c r="D104" i="10"/>
  <c r="D103" i="10"/>
  <c r="D102" i="10"/>
  <c r="D101" i="10"/>
  <c r="D100" i="10"/>
  <c r="E93" i="10"/>
  <c r="E92" i="10"/>
  <c r="E91" i="10"/>
  <c r="E90" i="10"/>
  <c r="E89" i="10"/>
  <c r="E88" i="10"/>
  <c r="B76" i="10"/>
  <c r="C72" i="10"/>
  <c r="B71" i="10"/>
  <c r="C53" i="10"/>
  <c r="D47" i="10"/>
  <c r="D46" i="10"/>
  <c r="B32" i="10"/>
  <c r="B30" i="10"/>
  <c r="B104" i="10"/>
  <c r="B41" i="10"/>
  <c r="D18" i="10"/>
  <c r="B113" i="10"/>
  <c r="C109" i="10"/>
  <c r="C104" i="10"/>
  <c r="C103" i="10"/>
  <c r="C102" i="10"/>
  <c r="C101" i="10"/>
  <c r="C100" i="10"/>
  <c r="D93" i="10"/>
  <c r="D92" i="10"/>
  <c r="D91" i="10"/>
  <c r="D90" i="10"/>
  <c r="D89" i="10"/>
  <c r="D88" i="10"/>
  <c r="F73" i="10"/>
  <c r="B72" i="10"/>
  <c r="C68" i="10"/>
  <c r="B53" i="10"/>
  <c r="C47" i="10"/>
  <c r="C46" i="10"/>
  <c r="D40" i="10"/>
  <c r="B16" i="10"/>
  <c r="E114" i="10"/>
  <c r="B102" i="10"/>
  <c r="B100" i="10"/>
  <c r="F20" i="10"/>
  <c r="F62" i="10"/>
  <c r="D114" i="10"/>
  <c r="B105" i="10"/>
  <c r="C94" i="10"/>
  <c r="B93" i="10"/>
  <c r="B92" i="10"/>
  <c r="B91" i="10"/>
  <c r="B90" i="10"/>
  <c r="B89" i="10"/>
  <c r="B88" i="10"/>
  <c r="D73" i="10"/>
  <c r="C60" i="10"/>
  <c r="C41" i="10"/>
  <c r="B40" i="10"/>
  <c r="E23" i="10"/>
  <c r="E22" i="10"/>
  <c r="E21" i="10"/>
  <c r="E20" i="10"/>
  <c r="E19" i="10"/>
  <c r="E18" i="10"/>
  <c r="E17" i="10"/>
  <c r="C114" i="10"/>
  <c r="F96" i="10"/>
  <c r="F95" i="10"/>
  <c r="B94" i="10"/>
  <c r="C77" i="10"/>
  <c r="C73" i="10"/>
  <c r="AA73" i="10" l="1"/>
  <c r="U73" i="10"/>
  <c r="O73" i="10"/>
  <c r="I73" i="10"/>
  <c r="AA114" i="10"/>
  <c r="U114" i="10"/>
  <c r="O114" i="10"/>
  <c r="I114" i="10"/>
  <c r="O40" i="10"/>
  <c r="AA40" i="10"/>
  <c r="U40" i="10"/>
  <c r="I40" i="10"/>
  <c r="AA88" i="10"/>
  <c r="U88" i="10"/>
  <c r="O88" i="10"/>
  <c r="I88" i="10"/>
  <c r="AA89" i="10"/>
  <c r="U89" i="10"/>
  <c r="O89" i="10"/>
  <c r="I89" i="10"/>
  <c r="AA90" i="10"/>
  <c r="U90" i="10"/>
  <c r="O90" i="10"/>
  <c r="I90" i="10"/>
  <c r="AA91" i="10"/>
  <c r="U91" i="10"/>
  <c r="O91" i="10"/>
  <c r="I91" i="10"/>
  <c r="AA92" i="10"/>
  <c r="U92" i="10"/>
  <c r="O92" i="10"/>
  <c r="I92" i="10"/>
  <c r="AA93" i="10"/>
  <c r="U93" i="10"/>
  <c r="O93" i="10"/>
  <c r="I93" i="10"/>
  <c r="O18" i="10"/>
  <c r="O116" i="10" s="1"/>
  <c r="AA18" i="10"/>
  <c r="U18" i="10"/>
  <c r="I18" i="10"/>
  <c r="AA46" i="10"/>
  <c r="U46" i="10"/>
  <c r="O46" i="10"/>
  <c r="I46" i="10"/>
  <c r="AA47" i="10"/>
  <c r="U47" i="10"/>
  <c r="O47" i="10"/>
  <c r="I47" i="10"/>
  <c r="AA100" i="10"/>
  <c r="U100" i="10"/>
  <c r="O100" i="10"/>
  <c r="I100" i="10"/>
  <c r="AA101" i="10"/>
  <c r="U101" i="10"/>
  <c r="O101" i="10"/>
  <c r="I101" i="10"/>
  <c r="AA102" i="10"/>
  <c r="U102" i="10"/>
  <c r="O102" i="10"/>
  <c r="I102" i="10"/>
  <c r="AA103" i="10"/>
  <c r="U103" i="10"/>
  <c r="O103" i="10"/>
  <c r="I103" i="10"/>
  <c r="AA104" i="10"/>
  <c r="U104" i="10"/>
  <c r="O104" i="10"/>
  <c r="I104" i="10"/>
  <c r="O22" i="10"/>
  <c r="U22" i="10"/>
  <c r="U116" i="10" s="1"/>
  <c r="AA22" i="10"/>
  <c r="I22" i="10"/>
  <c r="U30" i="10"/>
  <c r="O30" i="10"/>
  <c r="I30" i="10"/>
  <c r="AA30" i="10"/>
  <c r="U31" i="10"/>
  <c r="AA31" i="10"/>
  <c r="O31" i="10"/>
  <c r="I31" i="10"/>
  <c r="U32" i="10"/>
  <c r="AA32" i="10"/>
  <c r="O32" i="10"/>
  <c r="I32" i="10"/>
  <c r="U33" i="10"/>
  <c r="O33" i="10"/>
  <c r="I33" i="10"/>
  <c r="AA33" i="10"/>
  <c r="U71" i="10"/>
  <c r="O71" i="10"/>
  <c r="I71" i="10"/>
  <c r="AA71" i="10"/>
  <c r="U21" i="10"/>
  <c r="O21" i="10"/>
  <c r="AA21" i="10"/>
  <c r="I21" i="10"/>
  <c r="U82" i="10"/>
  <c r="O82" i="10"/>
  <c r="I82" i="10"/>
  <c r="AA82" i="10"/>
  <c r="U83" i="10"/>
  <c r="AA83" i="10"/>
  <c r="O83" i="10"/>
  <c r="I83" i="10"/>
  <c r="U84" i="10"/>
  <c r="O84" i="10"/>
  <c r="I84" i="10"/>
  <c r="AA84" i="10"/>
  <c r="U85" i="10"/>
  <c r="O85" i="10"/>
  <c r="AA85" i="10"/>
  <c r="I85" i="10"/>
  <c r="U86" i="10"/>
  <c r="AA86" i="10"/>
  <c r="O86" i="10"/>
  <c r="I86" i="10"/>
  <c r="O98" i="10"/>
  <c r="I98" i="10"/>
  <c r="AA98" i="10"/>
  <c r="U98" i="10"/>
  <c r="O107" i="10"/>
  <c r="I107" i="10"/>
  <c r="AA107" i="10"/>
  <c r="U107" i="10"/>
  <c r="AA23" i="10"/>
  <c r="U23" i="10"/>
  <c r="O23" i="10"/>
  <c r="I23" i="10"/>
  <c r="O25" i="10"/>
  <c r="I25" i="10"/>
  <c r="U25" i="10"/>
  <c r="AA25" i="10"/>
  <c r="O26" i="10"/>
  <c r="I26" i="10"/>
  <c r="AA26" i="10"/>
  <c r="U26" i="10"/>
  <c r="O27" i="10"/>
  <c r="I27" i="10"/>
  <c r="U27" i="10"/>
  <c r="AA27" i="10"/>
  <c r="O28" i="10"/>
  <c r="I28" i="10"/>
  <c r="U28" i="10"/>
  <c r="AA28" i="10"/>
  <c r="O111" i="10"/>
  <c r="I111" i="10"/>
  <c r="U111" i="10"/>
  <c r="AA111" i="10"/>
  <c r="I55" i="10"/>
  <c r="J56" i="10" s="1"/>
  <c r="AA55" i="10"/>
  <c r="O55" i="10"/>
  <c r="U55" i="10"/>
  <c r="U19" i="10"/>
  <c r="AA19" i="10"/>
  <c r="O19" i="10"/>
  <c r="I19" i="10"/>
  <c r="AA78" i="10"/>
  <c r="U78" i="10"/>
  <c r="O78" i="10"/>
  <c r="I78" i="10"/>
  <c r="AA79" i="10"/>
  <c r="U79" i="10"/>
  <c r="O79" i="10"/>
  <c r="I79" i="10"/>
  <c r="AA80" i="10"/>
  <c r="U80" i="10"/>
  <c r="O80" i="10"/>
  <c r="I80" i="10"/>
  <c r="U17" i="10"/>
  <c r="AA17" i="10"/>
  <c r="AA116" i="10" s="1"/>
  <c r="O17" i="10"/>
  <c r="I17" i="10"/>
  <c r="AA42" i="10"/>
  <c r="O42" i="10"/>
  <c r="U42" i="10"/>
  <c r="I42" i="10"/>
  <c r="O43" i="10"/>
  <c r="AA43" i="10"/>
  <c r="U43" i="10"/>
  <c r="I43" i="10"/>
  <c r="AA61" i="10"/>
  <c r="O61" i="10"/>
  <c r="U61" i="10"/>
  <c r="I61" i="10"/>
  <c r="O62" i="10"/>
  <c r="AA62" i="10"/>
  <c r="U62" i="10"/>
  <c r="I62" i="10"/>
  <c r="O63" i="10"/>
  <c r="AA63" i="10"/>
  <c r="U63" i="10"/>
  <c r="I63" i="10"/>
  <c r="O95" i="10"/>
  <c r="AA95" i="10"/>
  <c r="U95" i="10"/>
  <c r="I95" i="10"/>
  <c r="O96" i="10"/>
  <c r="AA96" i="10"/>
  <c r="U96" i="10"/>
  <c r="I96" i="10"/>
  <c r="U20" i="10"/>
  <c r="AA20" i="10"/>
  <c r="O20" i="10"/>
  <c r="I20" i="10"/>
  <c r="AB104" i="10" l="1"/>
  <c r="AB103" i="10"/>
  <c r="AB102" i="10"/>
  <c r="AB101" i="10"/>
  <c r="AB100" i="10"/>
  <c r="AB99" i="10"/>
  <c r="AB47" i="10"/>
  <c r="AB46" i="10"/>
  <c r="AB45" i="10"/>
  <c r="AB93" i="10"/>
  <c r="AB92" i="10"/>
  <c r="AB91" i="10"/>
  <c r="AB90" i="10"/>
  <c r="AB89" i="10"/>
  <c r="AB88" i="10"/>
  <c r="AB87" i="10"/>
  <c r="AB59" i="10"/>
  <c r="AB40" i="10"/>
  <c r="AB39" i="10"/>
  <c r="AB76" i="10"/>
  <c r="AB36" i="10"/>
  <c r="AB113" i="10"/>
  <c r="AB73" i="10"/>
  <c r="AB72" i="10"/>
  <c r="AB65" i="10"/>
  <c r="AB53" i="10"/>
  <c r="AB16" i="10"/>
  <c r="AB114" i="10"/>
  <c r="AB109" i="10"/>
  <c r="AB68" i="10"/>
  <c r="AB50" i="10"/>
  <c r="AB34" i="10"/>
  <c r="AB23" i="10"/>
  <c r="AB22" i="10"/>
  <c r="AB21" i="10"/>
  <c r="AB20" i="10"/>
  <c r="AB19" i="10"/>
  <c r="AB18" i="10"/>
  <c r="AB17" i="10"/>
  <c r="AB75" i="10"/>
  <c r="AB105" i="10"/>
  <c r="AB57" i="10"/>
  <c r="AB96" i="10"/>
  <c r="AB95" i="10"/>
  <c r="AB94" i="10"/>
  <c r="AB63" i="10"/>
  <c r="AB62" i="10"/>
  <c r="AB61" i="10"/>
  <c r="AB60" i="10"/>
  <c r="AB48" i="10"/>
  <c r="AB43" i="10"/>
  <c r="AB42" i="10"/>
  <c r="AB41" i="10"/>
  <c r="AB80" i="10"/>
  <c r="AB79" i="10"/>
  <c r="AB78" i="10"/>
  <c r="AB77" i="10"/>
  <c r="AB37" i="10"/>
  <c r="AB49" i="10"/>
  <c r="AB74" i="10"/>
  <c r="AB55" i="10"/>
  <c r="AB54" i="10"/>
  <c r="AB111" i="10"/>
  <c r="AB110" i="10"/>
  <c r="AB69" i="10"/>
  <c r="AB51" i="10"/>
  <c r="AB28" i="10"/>
  <c r="AB27" i="10"/>
  <c r="AB26" i="10"/>
  <c r="AB25" i="10"/>
  <c r="AB24" i="10"/>
  <c r="AB14" i="10"/>
  <c r="AB67" i="10"/>
  <c r="AB115" i="10"/>
  <c r="AB107" i="10"/>
  <c r="AB106" i="10"/>
  <c r="AB66" i="10"/>
  <c r="AB98" i="10"/>
  <c r="AB97" i="10"/>
  <c r="AB44" i="10"/>
  <c r="AB35" i="10"/>
  <c r="AB86" i="10"/>
  <c r="AB85" i="10"/>
  <c r="AB84" i="10"/>
  <c r="AB83" i="10"/>
  <c r="AB82" i="10"/>
  <c r="AB81" i="10"/>
  <c r="AB64" i="10"/>
  <c r="AB58" i="10"/>
  <c r="AB38" i="10"/>
  <c r="AB112" i="10"/>
  <c r="AB71" i="10"/>
  <c r="AB70" i="10"/>
  <c r="AB56" i="10"/>
  <c r="AB52" i="10"/>
  <c r="AB33" i="10"/>
  <c r="AB32" i="10"/>
  <c r="AB31" i="10"/>
  <c r="AB30" i="10"/>
  <c r="AB29" i="10"/>
  <c r="AB15" i="10"/>
  <c r="AB108" i="10"/>
  <c r="V75" i="10"/>
  <c r="V49" i="10"/>
  <c r="V106" i="10"/>
  <c r="V64" i="10"/>
  <c r="V38" i="10"/>
  <c r="V112" i="10"/>
  <c r="V71" i="10"/>
  <c r="V70" i="10"/>
  <c r="V56" i="10"/>
  <c r="V52" i="10"/>
  <c r="V33" i="10"/>
  <c r="V32" i="10"/>
  <c r="V31" i="10"/>
  <c r="V30" i="10"/>
  <c r="V29" i="10"/>
  <c r="V15" i="10"/>
  <c r="V108" i="10"/>
  <c r="V67" i="10"/>
  <c r="V104" i="10"/>
  <c r="V103" i="10"/>
  <c r="V102" i="10"/>
  <c r="V101" i="10"/>
  <c r="V100" i="10"/>
  <c r="V99" i="10"/>
  <c r="V47" i="10"/>
  <c r="V46" i="10"/>
  <c r="V45" i="10"/>
  <c r="V93" i="10"/>
  <c r="V92" i="10"/>
  <c r="V91" i="10"/>
  <c r="V90" i="10"/>
  <c r="V89" i="10"/>
  <c r="V88" i="10"/>
  <c r="V87" i="10"/>
  <c r="V59" i="10"/>
  <c r="V40" i="10"/>
  <c r="V39" i="10"/>
  <c r="V107" i="10"/>
  <c r="V66" i="10"/>
  <c r="V58" i="10"/>
  <c r="V76" i="10"/>
  <c r="V36" i="10"/>
  <c r="V113" i="10"/>
  <c r="V73" i="10"/>
  <c r="V72" i="10"/>
  <c r="V65" i="10"/>
  <c r="V53" i="10"/>
  <c r="V16" i="10"/>
  <c r="V114" i="10"/>
  <c r="V109" i="10"/>
  <c r="V68" i="10"/>
  <c r="V50" i="10"/>
  <c r="V34" i="10"/>
  <c r="V23" i="10"/>
  <c r="V22" i="10"/>
  <c r="V21" i="10"/>
  <c r="V20" i="10"/>
  <c r="V19" i="10"/>
  <c r="V18" i="10"/>
  <c r="V17" i="10"/>
  <c r="V105" i="10"/>
  <c r="V57" i="10"/>
  <c r="V96" i="10"/>
  <c r="V95" i="10"/>
  <c r="V94" i="10"/>
  <c r="V63" i="10"/>
  <c r="V62" i="10"/>
  <c r="V61" i="10"/>
  <c r="V60" i="10"/>
  <c r="V48" i="10"/>
  <c r="V43" i="10"/>
  <c r="V42" i="10"/>
  <c r="V41" i="10"/>
  <c r="V80" i="10"/>
  <c r="V79" i="10"/>
  <c r="V78" i="10"/>
  <c r="V77" i="10"/>
  <c r="V37" i="10"/>
  <c r="V74" i="10"/>
  <c r="V55" i="10"/>
  <c r="V54" i="10"/>
  <c r="V111" i="10"/>
  <c r="V110" i="10"/>
  <c r="V69" i="10"/>
  <c r="V51" i="10"/>
  <c r="V28" i="10"/>
  <c r="V27" i="10"/>
  <c r="V26" i="10"/>
  <c r="V25" i="10"/>
  <c r="V24" i="10"/>
  <c r="V14" i="10"/>
  <c r="V115" i="10"/>
  <c r="V98" i="10"/>
  <c r="V97" i="10"/>
  <c r="V44" i="10"/>
  <c r="V35" i="10"/>
  <c r="V86" i="10"/>
  <c r="V85" i="10"/>
  <c r="V84" i="10"/>
  <c r="V83" i="10"/>
  <c r="V82" i="10"/>
  <c r="V81" i="10"/>
  <c r="P115" i="10"/>
  <c r="P107" i="10"/>
  <c r="P106" i="10"/>
  <c r="P66" i="10"/>
  <c r="P28" i="10"/>
  <c r="P98" i="10"/>
  <c r="P97" i="10"/>
  <c r="P44" i="10"/>
  <c r="P35" i="10"/>
  <c r="P78" i="10"/>
  <c r="P86" i="10"/>
  <c r="P85" i="10"/>
  <c r="P84" i="10"/>
  <c r="P83" i="10"/>
  <c r="P82" i="10"/>
  <c r="P81" i="10"/>
  <c r="P64" i="10"/>
  <c r="P58" i="10"/>
  <c r="P38" i="10"/>
  <c r="P24" i="10"/>
  <c r="P75" i="10"/>
  <c r="P49" i="10"/>
  <c r="P36" i="10"/>
  <c r="P77" i="10"/>
  <c r="P112" i="10"/>
  <c r="P71" i="10"/>
  <c r="P70" i="10"/>
  <c r="P56" i="10"/>
  <c r="P52" i="10"/>
  <c r="P33" i="10"/>
  <c r="P32" i="10"/>
  <c r="P31" i="10"/>
  <c r="P30" i="10"/>
  <c r="P29" i="10"/>
  <c r="P15" i="10"/>
  <c r="P108" i="10"/>
  <c r="P67" i="10"/>
  <c r="P79" i="10"/>
  <c r="P104" i="10"/>
  <c r="P103" i="10"/>
  <c r="P102" i="10"/>
  <c r="P101" i="10"/>
  <c r="P100" i="10"/>
  <c r="P99" i="10"/>
  <c r="P47" i="10"/>
  <c r="P46" i="10"/>
  <c r="P45" i="10"/>
  <c r="P93" i="10"/>
  <c r="P92" i="10"/>
  <c r="P91" i="10"/>
  <c r="P90" i="10"/>
  <c r="P89" i="10"/>
  <c r="P88" i="10"/>
  <c r="P87" i="10"/>
  <c r="P59" i="10"/>
  <c r="P40" i="10"/>
  <c r="P39" i="10"/>
  <c r="P80" i="10"/>
  <c r="P69" i="10"/>
  <c r="P76" i="10"/>
  <c r="P27" i="10"/>
  <c r="P113" i="10"/>
  <c r="P73" i="10"/>
  <c r="P72" i="10"/>
  <c r="P65" i="10"/>
  <c r="P53" i="10"/>
  <c r="P16" i="10"/>
  <c r="P37" i="10"/>
  <c r="P14" i="10"/>
  <c r="P114" i="10"/>
  <c r="P109" i="10"/>
  <c r="P68" i="10"/>
  <c r="P50" i="10"/>
  <c r="P34" i="10"/>
  <c r="P23" i="10"/>
  <c r="P22" i="10"/>
  <c r="P21" i="10"/>
  <c r="P20" i="10"/>
  <c r="P19" i="10"/>
  <c r="P18" i="10"/>
  <c r="P17" i="10"/>
  <c r="P105" i="10"/>
  <c r="P57" i="10"/>
  <c r="P51" i="10"/>
  <c r="P26" i="10"/>
  <c r="P96" i="10"/>
  <c r="P95" i="10"/>
  <c r="P94" i="10"/>
  <c r="P63" i="10"/>
  <c r="P62" i="10"/>
  <c r="P61" i="10"/>
  <c r="P60" i="10"/>
  <c r="P48" i="10"/>
  <c r="P43" i="10"/>
  <c r="P42" i="10"/>
  <c r="P41" i="10"/>
  <c r="P74" i="10"/>
  <c r="P55" i="10"/>
  <c r="P54" i="10"/>
  <c r="P111" i="10"/>
  <c r="P110" i="10"/>
  <c r="P25" i="10"/>
  <c r="I116" i="10"/>
  <c r="I118" i="10" s="1"/>
  <c r="I120" i="10" s="1"/>
  <c r="J34" i="10"/>
  <c r="J48" i="10"/>
  <c r="J115" i="10"/>
  <c r="J64" i="10"/>
  <c r="J116" i="10" l="1"/>
  <c r="J118" i="10" s="1"/>
  <c r="J120" i="10" s="1"/>
  <c r="D375" i="2"/>
  <c r="D376" i="2" s="1"/>
  <c r="I375" i="2"/>
  <c r="I314" i="2"/>
  <c r="I311" i="2"/>
  <c r="I310" i="2"/>
  <c r="I315" i="2" s="1"/>
  <c r="I304" i="2"/>
  <c r="I301" i="2"/>
  <c r="I300" i="2"/>
  <c r="I294" i="2"/>
  <c r="I291" i="2"/>
  <c r="I290" i="2"/>
  <c r="I295" i="2" s="1"/>
  <c r="I284" i="2"/>
  <c r="I281" i="2"/>
  <c r="I280" i="2"/>
  <c r="D270" i="2"/>
  <c r="I270" i="2" s="1"/>
  <c r="I274" i="2"/>
  <c r="I271" i="2"/>
  <c r="D260" i="2"/>
  <c r="I244" i="2"/>
  <c r="I243" i="2"/>
  <c r="I213" i="2"/>
  <c r="I212" i="2"/>
  <c r="I206" i="2"/>
  <c r="I205" i="2"/>
  <c r="D377" i="2" l="1"/>
  <c r="I376" i="2"/>
  <c r="I377" i="2"/>
  <c r="D378" i="2"/>
  <c r="I285" i="2"/>
  <c r="I275" i="2"/>
  <c r="I305" i="2"/>
  <c r="I207" i="2"/>
  <c r="I214" i="2"/>
  <c r="I378" i="2" l="1"/>
  <c r="D379" i="2"/>
  <c r="I379" i="2" s="1"/>
  <c r="I368" i="2"/>
  <c r="I369" i="2"/>
  <c r="I370" i="2"/>
  <c r="I371" i="2"/>
  <c r="I372" i="2"/>
  <c r="I373" i="2"/>
  <c r="I374" i="2"/>
  <c r="I380" i="2"/>
  <c r="I407" i="2"/>
  <c r="I137" i="2"/>
  <c r="I199" i="2"/>
  <c r="I222" i="2"/>
  <c r="I229" i="2"/>
  <c r="I230" i="2"/>
  <c r="I236" i="2"/>
  <c r="I237" i="2"/>
  <c r="I250" i="2"/>
  <c r="I251" i="2"/>
  <c r="I260" i="2"/>
  <c r="I261" i="2"/>
  <c r="I264" i="2"/>
  <c r="I367" i="2"/>
  <c r="I198" i="2"/>
  <c r="I381" i="2" l="1"/>
  <c r="I231" i="2"/>
  <c r="I252" i="2"/>
  <c r="I224" i="2"/>
  <c r="I238" i="2"/>
  <c r="I265" i="2"/>
  <c r="I200" i="2"/>
  <c r="I245" i="2"/>
  <c r="D139" i="2" l="1"/>
  <c r="D138" i="2"/>
  <c r="I138" i="2" s="1"/>
  <c r="I139" i="2"/>
  <c r="I140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 satisfied Microsoft Office user</author>
  </authors>
  <commentList>
    <comment ref="A1" authorId="0" shapeId="0" xr:uid="{00000000-0006-0000-0000-000001000000}">
      <text>
        <r>
          <rPr>
            <sz val="8"/>
            <color indexed="81"/>
            <rFont val="Tahoma"/>
            <family val="2"/>
          </rPr>
          <t>DM_4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 satisfied Microsoft Office user</author>
  </authors>
  <commentList>
    <comment ref="A1" authorId="0" shapeId="0" xr:uid="{C2E1C8D7-6603-4BB9-9A70-901FA5D573F1}">
      <text>
        <r>
          <rPr>
            <sz val="8"/>
            <color indexed="81"/>
            <rFont val="Tahoma"/>
            <family val="2"/>
          </rPr>
          <t>SM_4</t>
        </r>
      </text>
    </comment>
  </commentList>
</comments>
</file>

<file path=xl/sharedStrings.xml><?xml version="1.0" encoding="utf-8"?>
<sst xmlns="http://schemas.openxmlformats.org/spreadsheetml/2006/main" count="528" uniqueCount="266">
  <si>
    <t xml:space="preserve">A    </t>
  </si>
  <si>
    <t>Klad</t>
  </si>
  <si>
    <t xml:space="preserve">B    </t>
  </si>
  <si>
    <t>Voorstel</t>
  </si>
  <si>
    <t xml:space="preserve">C    </t>
  </si>
  <si>
    <t>Herzien</t>
  </si>
  <si>
    <t xml:space="preserve">D    </t>
  </si>
  <si>
    <t>Goedgekeurd</t>
  </si>
  <si>
    <t>dos  nr</t>
  </si>
  <si>
    <t>uitgave</t>
  </si>
  <si>
    <t>auteur</t>
  </si>
  <si>
    <t>Woning Eva&amp; David</t>
  </si>
  <si>
    <t>DED17</t>
  </si>
  <si>
    <t>1ste – 22/09/2020</t>
  </si>
  <si>
    <t>MSC</t>
  </si>
  <si>
    <t>EERSTE GLOBALE RAMING</t>
  </si>
  <si>
    <t>omschrijving</t>
  </si>
  <si>
    <t>aantal</t>
  </si>
  <si>
    <t>totaal</t>
  </si>
  <si>
    <t>lengte</t>
  </si>
  <si>
    <t>breedte</t>
  </si>
  <si>
    <t>Totaal</t>
  </si>
  <si>
    <t>FH</t>
  </si>
  <si>
    <t>m2</t>
  </si>
  <si>
    <t>PM</t>
  </si>
  <si>
    <t>C:\Models\C3Admin\Database\Articles_VMSW_BouwtechnischBestekWoningbouw_2015.xlsx</t>
  </si>
  <si>
    <t>Artikels</t>
  </si>
  <si>
    <t>40.</t>
  </si>
  <si>
    <t>BUITENSCHRIJNWERK</t>
  </si>
  <si>
    <t>40.12.</t>
  </si>
  <si>
    <t>Aannemer 1</t>
  </si>
  <si>
    <t>Aannemer 2</t>
  </si>
  <si>
    <t>Aannemer 3</t>
  </si>
  <si>
    <t>volgnr.</t>
  </si>
  <si>
    <t>art.</t>
  </si>
  <si>
    <t>eenheid</t>
  </si>
  <si>
    <t>hoev.</t>
  </si>
  <si>
    <t>hoev. 2</t>
  </si>
  <si>
    <t>eenh.pr.</t>
  </si>
  <si>
    <t>gemiddelde</t>
  </si>
  <si>
    <t>prijs</t>
  </si>
  <si>
    <t>afw. hoev.</t>
  </si>
  <si>
    <t>prijs 2</t>
  </si>
  <si>
    <t>% tov tot.</t>
  </si>
  <si>
    <t>% tov gem.</t>
  </si>
  <si>
    <t>Totaal €</t>
  </si>
  <si>
    <t>Eindtotaal €</t>
  </si>
  <si>
    <t>Hoofdstuk 40</t>
  </si>
  <si>
    <t>m</t>
  </si>
  <si>
    <t>01.</t>
  </si>
  <si>
    <t>AANNEMINGSMODALITEITEN</t>
  </si>
  <si>
    <t>01.00.</t>
  </si>
  <si>
    <t>aannemingsmodaliteiten - algemeen</t>
  </si>
  <si>
    <t>01.02.</t>
  </si>
  <si>
    <t>aannemingsmodaliteiten – voorafgaand plaatsbezoek</t>
  </si>
  <si>
    <t>01.03.</t>
  </si>
  <si>
    <t>aannemingsmodaliteiten – burgerlijke aansprakelijkheid</t>
  </si>
  <si>
    <t>01.05.</t>
  </si>
  <si>
    <t>aannemingsmodaliteiten – onderaanneming</t>
  </si>
  <si>
    <t>01.06.</t>
  </si>
  <si>
    <t>aannemingsmodaliteiten – verrekeningen</t>
  </si>
  <si>
    <t>01.08.</t>
  </si>
  <si>
    <t>aannemingsmodaliteiten – materialenlijst</t>
  </si>
  <si>
    <t>01.20.</t>
  </si>
  <si>
    <t>werfcoördinatie – algemeen</t>
  </si>
  <si>
    <t>01.21.</t>
  </si>
  <si>
    <t>werfcoördinatie – planning van de werken</t>
  </si>
  <si>
    <t>01.23.</t>
  </si>
  <si>
    <t>werfcoördinatie – werfvergaderingen</t>
  </si>
  <si>
    <t>01.25.</t>
  </si>
  <si>
    <t>werfcoördinatie – as-builtdossier</t>
  </si>
  <si>
    <t>01.30.</t>
  </si>
  <si>
    <t>werfcondities – algemeen</t>
  </si>
  <si>
    <t>01.31.</t>
  </si>
  <si>
    <t>werfcondities – orde en netheid</t>
  </si>
  <si>
    <t>01.32.</t>
  </si>
  <si>
    <t>werfcondities – geluids- en stofhinder</t>
  </si>
  <si>
    <t>01.33.</t>
  </si>
  <si>
    <t>werfcondities – nazorg</t>
  </si>
  <si>
    <t>01.40.</t>
  </si>
  <si>
    <t>veiligheidsvoorschriften – algemeen</t>
  </si>
  <si>
    <t>02.</t>
  </si>
  <si>
    <t>BOUWPLAATSVOORZIENINGEN</t>
  </si>
  <si>
    <t>02.00.</t>
  </si>
  <si>
    <t>bouwplaatsvoorzieningen - algemeen</t>
  </si>
  <si>
    <t>02.10.</t>
  </si>
  <si>
    <t>beschermingswerken – algemeen</t>
  </si>
  <si>
    <t>02.80.</t>
  </si>
  <si>
    <t>arbeidsmiddelen – algemeen</t>
  </si>
  <si>
    <t>02.81.</t>
  </si>
  <si>
    <t>arbeidsmiddelen – werken op hoogte</t>
  </si>
  <si>
    <t>02.82.</t>
  </si>
  <si>
    <t>arbeidsmiddelen – hijsen en heffen van lasten</t>
  </si>
  <si>
    <t>40.01.</t>
  </si>
  <si>
    <t>buitenschrijnwerk - prestaties</t>
  </si>
  <si>
    <t>40.02.</t>
  </si>
  <si>
    <t>buitenschrijnwerk - proeven</t>
  </si>
  <si>
    <t>40.04.</t>
  </si>
  <si>
    <t>buitenschrijnwerk – borderel</t>
  </si>
  <si>
    <t>40.26.</t>
  </si>
  <si>
    <t>hang- en sluitwerk - raamkrukken</t>
  </si>
  <si>
    <t>40.27.</t>
  </si>
  <si>
    <t>hang- en sluitwerk - deurkrukken</t>
  </si>
  <si>
    <t>40.20.</t>
  </si>
  <si>
    <t>hang- en sluitwerk - algemeen</t>
  </si>
  <si>
    <t>40.21.</t>
  </si>
  <si>
    <t>hang- en sluitwerk - standaard beslag</t>
  </si>
  <si>
    <t>40.22.</t>
  </si>
  <si>
    <t>hang- en sluitwerk - scharnieren en paumellen</t>
  </si>
  <si>
    <t>40.23.</t>
  </si>
  <si>
    <t>hang- en sluitwerk - sloten</t>
  </si>
  <si>
    <t>40.23.10.</t>
  </si>
  <si>
    <t>40.40</t>
  </si>
  <si>
    <t>beglazing - algemeen</t>
  </si>
  <si>
    <t>40.40.10.</t>
  </si>
  <si>
    <t>beglazing – prestaties</t>
  </si>
  <si>
    <t>5-puntssluiting met paddenstoelsluiting cilinder</t>
  </si>
  <si>
    <t>binnenkruk in kleur buitenschrijnwerk</t>
  </si>
  <si>
    <t>dhr. David DE REU &amp; mvr. Eva VAN CAENEGEM</t>
  </si>
  <si>
    <t>BTW</t>
  </si>
  <si>
    <t>Hoofdstuk 1</t>
  </si>
  <si>
    <t>Hoofdstuk 2</t>
  </si>
  <si>
    <t>enkel draaikip</t>
  </si>
  <si>
    <t>3 dubbel vast raam</t>
  </si>
  <si>
    <t>40-BUITENSCHRIJNWERK</t>
  </si>
  <si>
    <t>01.01.</t>
  </si>
  <si>
    <t>aannemingsmodaliteiten – bestek</t>
  </si>
  <si>
    <t>01.04.</t>
  </si>
  <si>
    <t>aannemingsmodaliteiten – volledigheid van inschrijving</t>
  </si>
  <si>
    <t>01.22.</t>
  </si>
  <si>
    <t>werfcoördinatie – werfleiding en controle</t>
  </si>
  <si>
    <t>02.11.</t>
  </si>
  <si>
    <t>beschermingswerken - openbare weg</t>
  </si>
  <si>
    <t>02.12.</t>
  </si>
  <si>
    <t>beschermingswerken - beplantingen</t>
  </si>
  <si>
    <t>02.12.10.</t>
  </si>
  <si>
    <t>02.12.20.</t>
  </si>
  <si>
    <t>beschermingswerken - beplantingen/bomen</t>
  </si>
  <si>
    <t>beschermingswerken - beplantingen/struiken en hagen</t>
  </si>
  <si>
    <t>02.81.10.</t>
  </si>
  <si>
    <t>arbeidsmiddelen – werken op hoogte/ladders</t>
  </si>
  <si>
    <t>03.</t>
  </si>
  <si>
    <t>AFBRAAKWERKEN</t>
  </si>
  <si>
    <t>03.00.</t>
  </si>
  <si>
    <t>afbraakwerken - algemeen</t>
  </si>
  <si>
    <t>03.44.</t>
  </si>
  <si>
    <t>afbraak gevelelementen - buitenschrijnwerk</t>
  </si>
  <si>
    <t>03.44.20.</t>
  </si>
  <si>
    <t>afbraak gevelelementen - buitenschrijnwerk/ramen, deuren en poorten</t>
  </si>
  <si>
    <t>40.00.</t>
  </si>
  <si>
    <t>buitenschrijnwerk - algemeen</t>
  </si>
  <si>
    <t>40.03.</t>
  </si>
  <si>
    <t>buitenschrijnwerk - montage</t>
  </si>
  <si>
    <t>40.03.10.</t>
  </si>
  <si>
    <t>buitenschrijnwerk - montage/spouwconstructie en dorpel</t>
  </si>
  <si>
    <t>40.10.</t>
  </si>
  <si>
    <t>profielsystemen - algemeen</t>
  </si>
  <si>
    <t>profielsysteem – aluminium (incl. luchtdichtheidslabben)</t>
  </si>
  <si>
    <t>40.12.10</t>
  </si>
  <si>
    <t>profielsystemen - aluminium/vaste ramen</t>
  </si>
  <si>
    <t>40.12.10.1</t>
  </si>
  <si>
    <t>40.12.20</t>
  </si>
  <si>
    <t>profielsystemen - aluminium/draairamen</t>
  </si>
  <si>
    <t>40.12.20.1</t>
  </si>
  <si>
    <t>40.12.20.2</t>
  </si>
  <si>
    <t>40.12.20.3</t>
  </si>
  <si>
    <t>40.12.20.4</t>
  </si>
  <si>
    <t>40.12.20.5</t>
  </si>
  <si>
    <t>40.12.40</t>
  </si>
  <si>
    <t>profielsystemen - aluminium/buitendeuren</t>
  </si>
  <si>
    <t>40.12.40.1</t>
  </si>
  <si>
    <t>hang- en sluitwerk - sloten/manueel</t>
  </si>
  <si>
    <t>40.29.</t>
  </si>
  <si>
    <t>hang- en sluitwerk - toebehoren</t>
  </si>
  <si>
    <t>40.30.</t>
  </si>
  <si>
    <t>ventilatieroosters - algemeen</t>
  </si>
  <si>
    <t>40.32.</t>
  </si>
  <si>
    <t>ventilatieroosters - op profiel</t>
  </si>
  <si>
    <t>40.32.10</t>
  </si>
  <si>
    <t>40.42.</t>
  </si>
  <si>
    <t>beglazing - dubbele beglazing</t>
  </si>
  <si>
    <t>40.42.10</t>
  </si>
  <si>
    <t>beglazing - dubbele beglazing/type 1</t>
  </si>
  <si>
    <t>Hoofdstuk 3</t>
  </si>
  <si>
    <t>draairamen</t>
  </si>
  <si>
    <t>buitendeur</t>
  </si>
  <si>
    <t>SOG</t>
  </si>
  <si>
    <t>03.40.</t>
  </si>
  <si>
    <t>afbraak gevelelementen - algemeen</t>
  </si>
  <si>
    <t>04.</t>
  </si>
  <si>
    <t>GEBOUWPRESTATIES</t>
  </si>
  <si>
    <t>04.00.</t>
  </si>
  <si>
    <t>gebouwprestaties - algemeen</t>
  </si>
  <si>
    <t>04.20.</t>
  </si>
  <si>
    <t>luchtdichtheid - algemeen</t>
  </si>
  <si>
    <t>akoestiek - algemeen</t>
  </si>
  <si>
    <t>04.40.</t>
  </si>
  <si>
    <t>04.30.</t>
  </si>
  <si>
    <t>brandveiligheid - algemeen</t>
  </si>
  <si>
    <t>40.02.10.</t>
  </si>
  <si>
    <t>buitenschrijnwerk - proeven/op kosten ongelijk</t>
  </si>
  <si>
    <t>Hoofdstuk 4</t>
  </si>
  <si>
    <t>raamdorpels - algemeen (bestaand)</t>
  </si>
  <si>
    <t>raamdorpels - algemeen (nieuw)</t>
  </si>
  <si>
    <t>40.60.01</t>
  </si>
  <si>
    <t>40.60.02</t>
  </si>
  <si>
    <t>40.61</t>
  </si>
  <si>
    <t>VH</t>
  </si>
  <si>
    <t>ventilatieroosters - op profiel/kleprooster (optioneel)</t>
  </si>
  <si>
    <t>R0.04</t>
  </si>
  <si>
    <t>R0.06</t>
  </si>
  <si>
    <t>R0.08</t>
  </si>
  <si>
    <t>R1.06</t>
  </si>
  <si>
    <t>R1.03</t>
  </si>
  <si>
    <t>R1.04</t>
  </si>
  <si>
    <t>WRJ22</t>
  </si>
  <si>
    <t>STS_OMA</t>
  </si>
  <si>
    <t>WAASMUNSTER - Renovatie van jeugdlokalen</t>
  </si>
  <si>
    <t>1ste – 16/12/2022</t>
  </si>
  <si>
    <t>afbraak alle ramen: grotendeels zelfde afmetingen als nieuw schrijnwerk</t>
  </si>
  <si>
    <t>40.24.</t>
  </si>
  <si>
    <t>40.24.10.</t>
  </si>
  <si>
    <t>hang- en sluitwerk - deurdrangers</t>
  </si>
  <si>
    <t>hang- en sluitwerk - deurdrangers/manueel</t>
  </si>
  <si>
    <t>40.25.</t>
  </si>
  <si>
    <t>hang- en sluitwerk - panieksluitingen</t>
  </si>
  <si>
    <t>R0.01 &amp; R0.02  vast raam (1300 x 1340 mm)</t>
  </si>
  <si>
    <t>40.12.10.2</t>
  </si>
  <si>
    <t>R0.04  vast raam (1110 x 1340 mm)</t>
  </si>
  <si>
    <t>40.12.10.3</t>
  </si>
  <si>
    <t>R0.06  vast raam (1480 x 1360 mm)</t>
  </si>
  <si>
    <t>draaikipraam</t>
  </si>
  <si>
    <t>R0.03 enkel draaikip raam (1110 x 1340 mm)</t>
  </si>
  <si>
    <t>R0.05 enkel draaikip raam (1000 x 1340 mm)</t>
  </si>
  <si>
    <t>R0.07 enkel openvallend raam (930 x 760 mm)</t>
  </si>
  <si>
    <t>enkel openvallend</t>
  </si>
  <si>
    <t>R0.08 enkel openvallend raam (1560 x 770 mm)</t>
  </si>
  <si>
    <t>R1.01/R1.02/R1.03/R1.04/R1.05/R1.06 kip voor draai raam (102 x 2400 mm)</t>
  </si>
  <si>
    <t>kip voor draairaam</t>
  </si>
  <si>
    <t>S0.01 - dubbele beglaasde deur (2410 x 2550 mm)</t>
  </si>
  <si>
    <t>naar buiten draaiende dubbele buitendeur</t>
  </si>
  <si>
    <t>kruk buitenzijde</t>
  </si>
  <si>
    <t>anti-paniekkruk binnenzijde</t>
  </si>
  <si>
    <t>prioritaire vleugel (rechts buiten)</t>
  </si>
  <si>
    <t>40.12.40.2</t>
  </si>
  <si>
    <t>S0.02 - dubbele beglaasde deur (2250 x 2390 mm)</t>
  </si>
  <si>
    <t>40.12.40.3</t>
  </si>
  <si>
    <t>40.12.40.4</t>
  </si>
  <si>
    <t>S0.03/S0.04 - enkele beglaasde deur (1020 x 2000 mm)</t>
  </si>
  <si>
    <t>S0.05 - enkele beglaasde deur (1020 x 2190 mm)</t>
  </si>
  <si>
    <t>40.12.40.5</t>
  </si>
  <si>
    <t>S1.01 - enkele beglaasde deur (870 x 2000 mm)</t>
  </si>
  <si>
    <t>40.12.40.6</t>
  </si>
  <si>
    <t>S1.02 - enkele beglaasde deur (920 x 2150 mm)</t>
  </si>
  <si>
    <t>translucente folie op het glas</t>
  </si>
  <si>
    <t>R0.01</t>
  </si>
  <si>
    <t>R0.02</t>
  </si>
  <si>
    <t>R0.03</t>
  </si>
  <si>
    <t>R0.05</t>
  </si>
  <si>
    <t>R1.01</t>
  </si>
  <si>
    <t>R1.02</t>
  </si>
  <si>
    <t>R1.05</t>
  </si>
  <si>
    <t>nieuw</t>
  </si>
  <si>
    <t>te verhogen - nieuw</t>
  </si>
  <si>
    <t>S1,02</t>
  </si>
  <si>
    <t>raamdorpels - arduin (in dossier ruwbouw)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</si>
</sst>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* #,##0.00\ &quot;€&quot;_-;\-* #,##0.00\ &quot;€&quot;_-;_-* &quot;-&quot;??\ &quot;€&quot;_-;_-@_-"/>
    <numFmt numFmtId="164" formatCode="&quot;€&quot;\ #,##0.00;&quot;€&quot;\ \-#,##0.00"/>
    <numFmt numFmtId="165" formatCode="&quot;€&quot;\ #,##0.00;[Red]&quot;€&quot;\ \-#,##0.00"/>
    <numFmt numFmtId="166" formatCode="0.00_ ;[Red]\-0.00\ "/>
    <numFmt numFmtId="167" formatCode="#,##0_._0_0_0;[Red]\-#,##0_._0_0_0"/>
    <numFmt numFmtId="168" formatCode="#,##0.0_0_0;[Red]\-#,##0.0_0_0"/>
    <numFmt numFmtId="169" formatCode="#,##0.00_0;[Red]\-#,##0.00_0"/>
    <numFmt numFmtId="170" formatCode="#,##0.000;[Red]\-#,##0.000"/>
    <numFmt numFmtId="171" formatCode="\x\ 0;\x\ \-0"/>
    <numFmt numFmtId="172" formatCode="#,##0.0___0;[Red]\-#,##0.00_0"/>
    <numFmt numFmtId="173" formatCode="#,##0.00_0;[Red]\-#,##0.00_00"/>
    <numFmt numFmtId="174" formatCode="#,##0.000"/>
    <numFmt numFmtId="175" formatCode="#,##0.00;[Red]\-#,##0.00;&quot;incl.&quot;"/>
    <numFmt numFmtId="176" formatCode="#,##0.00\ _€;[Red]\-#,##0.00\ _€;\ "/>
    <numFmt numFmtId="177" formatCode="#,##0.00;[Red]\-#,##0.00;&quot; &quot;"/>
    <numFmt numFmtId="178" formatCode="0_ ;[Red]\-0\ "/>
    <numFmt numFmtId="179" formatCode="0.0%;\-0.0%;&quot; &quot;"/>
    <numFmt numFmtId="180" formatCode="0.0%;\-0.0%"/>
    <numFmt numFmtId="181" formatCode="#,##0.00_ ;[Red]\-#,##0.00\ "/>
  </numFmts>
  <fonts count="32"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10"/>
      <name val="Calibri"/>
      <family val="2"/>
    </font>
    <font>
      <sz val="10"/>
      <name val="Calibri"/>
      <family val="2"/>
    </font>
    <font>
      <sz val="8"/>
      <name val="Calibri"/>
      <family val="2"/>
    </font>
    <font>
      <i/>
      <sz val="10"/>
      <name val="Calibri"/>
      <family val="2"/>
    </font>
    <font>
      <sz val="10"/>
      <color rgb="FF4F81BD"/>
      <name val="Calibri"/>
      <family val="2"/>
    </font>
    <font>
      <sz val="8"/>
      <name val="Verdana"/>
      <family val="2"/>
    </font>
    <font>
      <b/>
      <sz val="10"/>
      <name val="Arial"/>
      <family val="2"/>
    </font>
    <font>
      <sz val="8"/>
      <name val="Arial"/>
      <family val="2"/>
    </font>
    <font>
      <sz val="8"/>
      <name val="Helv"/>
    </font>
    <font>
      <sz val="10"/>
      <name val="Arial"/>
      <family val="2"/>
    </font>
    <font>
      <b/>
      <sz val="10"/>
      <name val="Verdana"/>
      <family val="2"/>
    </font>
    <font>
      <b/>
      <sz val="8"/>
      <name val="Verdana"/>
      <family val="2"/>
    </font>
    <font>
      <b/>
      <sz val="5.5"/>
      <name val="Verdana"/>
      <family val="2"/>
    </font>
    <font>
      <b/>
      <sz val="9"/>
      <name val="Verdana"/>
      <family val="2"/>
    </font>
    <font>
      <sz val="6"/>
      <name val="Verdana"/>
      <family val="2"/>
    </font>
    <font>
      <sz val="9.75"/>
      <color rgb="FFDC143C"/>
      <name val="Century Gothic"/>
      <family val="2"/>
    </font>
    <font>
      <sz val="9.75"/>
      <color rgb="FF0000FF"/>
      <name val="Verdana"/>
      <family val="2"/>
    </font>
    <font>
      <sz val="6"/>
      <color rgb="FF0000FF"/>
      <name val="Verdana"/>
      <family val="2"/>
    </font>
    <font>
      <b/>
      <sz val="8"/>
      <name val="Arial"/>
      <family val="2"/>
    </font>
    <font>
      <sz val="10"/>
      <name val="Prenton RP Pro Light"/>
      <family val="2"/>
    </font>
    <font>
      <sz val="8"/>
      <name val="Prenton RP Pro Light"/>
      <family val="2"/>
    </font>
    <font>
      <b/>
      <sz val="10"/>
      <name val="Prenton RP Pro Light"/>
      <family val="2"/>
    </font>
    <font>
      <b/>
      <sz val="9.75"/>
      <color rgb="FF0000FF"/>
      <name val="Prenton RP Pro Light"/>
      <family val="2"/>
    </font>
    <font>
      <b/>
      <sz val="5.5"/>
      <name val="Prenton RP Pro Light"/>
      <family val="2"/>
    </font>
    <font>
      <sz val="6"/>
      <name val="Prenton RP Pro Light"/>
      <family val="2"/>
    </font>
    <font>
      <b/>
      <sz val="9"/>
      <name val="Prenton RP Pro Light"/>
      <family val="2"/>
    </font>
    <font>
      <sz val="9.75"/>
      <color rgb="FFDC143C"/>
      <name val="Prenton RP Pro Light"/>
      <family val="2"/>
    </font>
    <font>
      <b/>
      <sz val="10"/>
      <color indexed="19"/>
      <name val="Prenton RP Pro Light"/>
      <family val="2"/>
    </font>
  </fonts>
  <fills count="14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9">
    <xf numFmtId="0" fontId="0" fillId="0" borderId="0"/>
    <xf numFmtId="49" fontId="4" fillId="2" borderId="3"/>
    <xf numFmtId="0" fontId="4" fillId="0" borderId="3"/>
    <xf numFmtId="0" fontId="4" fillId="0" borderId="3"/>
    <xf numFmtId="0" fontId="4" fillId="0" borderId="3"/>
    <xf numFmtId="0" fontId="4" fillId="0" borderId="3"/>
    <xf numFmtId="0" fontId="4" fillId="0" borderId="3"/>
    <xf numFmtId="0" fontId="4" fillId="0" borderId="3"/>
    <xf numFmtId="0" fontId="4" fillId="0" borderId="3"/>
    <xf numFmtId="0" fontId="4" fillId="0" borderId="3"/>
    <xf numFmtId="0" fontId="7" fillId="0" borderId="2"/>
    <xf numFmtId="0" fontId="7" fillId="0" borderId="2"/>
    <xf numFmtId="0" fontId="7" fillId="0" borderId="2"/>
    <xf numFmtId="0" fontId="7" fillId="0" borderId="2"/>
    <xf numFmtId="0" fontId="7" fillId="0" borderId="2"/>
    <xf numFmtId="0" fontId="7" fillId="0" borderId="2"/>
    <xf numFmtId="0" fontId="7" fillId="0" borderId="2"/>
    <xf numFmtId="0" fontId="7" fillId="0" borderId="2"/>
    <xf numFmtId="0" fontId="7" fillId="0" borderId="2"/>
    <xf numFmtId="0" fontId="5" fillId="0" borderId="2"/>
    <xf numFmtId="0" fontId="5" fillId="0" borderId="2"/>
    <xf numFmtId="0" fontId="5" fillId="0" borderId="2"/>
    <xf numFmtId="0" fontId="5" fillId="0" borderId="2"/>
    <xf numFmtId="0" fontId="5" fillId="0" borderId="2"/>
    <xf numFmtId="0" fontId="5" fillId="0" borderId="2"/>
    <xf numFmtId="0" fontId="5" fillId="0" borderId="2"/>
    <xf numFmtId="0" fontId="5" fillId="0" borderId="2"/>
    <xf numFmtId="0" fontId="5" fillId="0" borderId="2"/>
    <xf numFmtId="0" fontId="5" fillId="0" borderId="0"/>
    <xf numFmtId="0" fontId="5" fillId="0" borderId="0"/>
    <xf numFmtId="0" fontId="5" fillId="0" borderId="0"/>
    <xf numFmtId="0" fontId="5" fillId="0" borderId="4"/>
    <xf numFmtId="0" fontId="5" fillId="0" borderId="0"/>
    <xf numFmtId="0" fontId="5" fillId="0" borderId="0"/>
    <xf numFmtId="0" fontId="5" fillId="0" borderId="0"/>
    <xf numFmtId="0" fontId="5" fillId="0" borderId="5"/>
    <xf numFmtId="0" fontId="8" fillId="0" borderId="0"/>
    <xf numFmtId="0" fontId="8" fillId="0" borderId="0"/>
    <xf numFmtId="0" fontId="8" fillId="0" borderId="0"/>
    <xf numFmtId="0" fontId="8" fillId="0" borderId="4"/>
    <xf numFmtId="0" fontId="8" fillId="0" borderId="0"/>
    <xf numFmtId="0" fontId="8" fillId="0" borderId="0"/>
    <xf numFmtId="0" fontId="8" fillId="0" borderId="0"/>
    <xf numFmtId="0" fontId="8" fillId="0" borderId="5"/>
    <xf numFmtId="0" fontId="4" fillId="0" borderId="1"/>
    <xf numFmtId="0" fontId="4" fillId="0" borderId="1"/>
    <xf numFmtId="0" fontId="4" fillId="0" borderId="1"/>
    <xf numFmtId="0" fontId="4" fillId="0" borderId="6"/>
    <xf numFmtId="0" fontId="4" fillId="0" borderId="3"/>
    <xf numFmtId="0" fontId="4" fillId="0" borderId="3"/>
    <xf numFmtId="0" fontId="4" fillId="0" borderId="3"/>
    <xf numFmtId="0" fontId="4" fillId="0" borderId="7"/>
    <xf numFmtId="167" fontId="5" fillId="0" borderId="0"/>
    <xf numFmtId="168" fontId="5" fillId="0" borderId="0"/>
    <xf numFmtId="169" fontId="5" fillId="0" borderId="0"/>
    <xf numFmtId="170" fontId="5" fillId="0" borderId="0"/>
    <xf numFmtId="167" fontId="4" fillId="0" borderId="3"/>
    <xf numFmtId="168" fontId="4" fillId="0" borderId="3"/>
    <xf numFmtId="169" fontId="4" fillId="0" borderId="3"/>
    <xf numFmtId="170" fontId="4" fillId="0" borderId="3"/>
    <xf numFmtId="0" fontId="9" fillId="0" borderId="0"/>
    <xf numFmtId="167" fontId="5" fillId="0" borderId="0" applyFont="0" applyFill="0" applyBorder="0" applyAlignment="0" applyProtection="0"/>
    <xf numFmtId="171" fontId="12" fillId="0" borderId="8" applyFont="0" applyFill="0" applyBorder="0" applyAlignment="0" applyProtection="0"/>
    <xf numFmtId="49" fontId="10" fillId="1" borderId="3">
      <alignment horizontal="left"/>
    </xf>
    <xf numFmtId="0" fontId="10" fillId="1" borderId="3" applyNumberFormat="0" applyProtection="0">
      <alignment horizontal="left"/>
    </xf>
    <xf numFmtId="0" fontId="10" fillId="1" borderId="3" applyNumberFormat="0" applyProtection="0">
      <alignment horizontal="left"/>
    </xf>
    <xf numFmtId="167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7" fontId="5" fillId="0" borderId="0"/>
    <xf numFmtId="172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" fontId="12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8" applyFont="0" applyFill="0" applyBorder="0" applyAlignment="0" applyProtection="0"/>
    <xf numFmtId="0" fontId="13" fillId="0" borderId="0"/>
    <xf numFmtId="0" fontId="12" fillId="0" borderId="0"/>
    <xf numFmtId="0" fontId="13" fillId="0" borderId="0"/>
    <xf numFmtId="0" fontId="12" fillId="0" borderId="0"/>
    <xf numFmtId="0" fontId="2" fillId="0" borderId="0"/>
    <xf numFmtId="167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7" fontId="5" fillId="0" borderId="0"/>
    <xf numFmtId="169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6" fontId="13" fillId="3" borderId="0" applyFont="0" applyFill="0" applyBorder="0" applyAlignment="0" applyProtection="0"/>
    <xf numFmtId="165" fontId="13" fillId="3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2" fontId="5" fillId="0" borderId="0"/>
    <xf numFmtId="167" fontId="9" fillId="0" borderId="0"/>
    <xf numFmtId="167" fontId="13" fillId="0" borderId="0" applyFont="0" applyFill="0" applyBorder="0" applyAlignment="0" applyProtection="0"/>
    <xf numFmtId="0" fontId="10" fillId="0" borderId="2">
      <alignment horizontal="left"/>
    </xf>
    <xf numFmtId="0" fontId="10" fillId="0" borderId="2">
      <alignment horizontal="left"/>
    </xf>
    <xf numFmtId="0" fontId="10" fillId="0" borderId="2">
      <alignment horizontal="left"/>
    </xf>
    <xf numFmtId="0" fontId="10" fillId="0" borderId="2"/>
    <xf numFmtId="0" fontId="10" fillId="0" borderId="2"/>
    <xf numFmtId="170" fontId="13" fillId="0" borderId="0" applyFont="0" applyFill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170" fontId="13" fillId="0" borderId="0" applyFont="0" applyFill="0" applyBorder="0" applyAlignment="0" applyProtection="0"/>
    <xf numFmtId="170" fontId="5" fillId="0" borderId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4" fillId="4" borderId="3" applyNumberFormat="0" applyFill="0" applyAlignment="0" applyProtection="0"/>
    <xf numFmtId="169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9" fontId="12" fillId="0" borderId="0" applyFont="0" applyFill="0" applyBorder="0" applyAlignment="0" applyProtection="0"/>
    <xf numFmtId="49" fontId="15" fillId="2" borderId="3"/>
    <xf numFmtId="0" fontId="15" fillId="0" borderId="3"/>
    <xf numFmtId="0" fontId="15" fillId="0" borderId="3"/>
    <xf numFmtId="0" fontId="15" fillId="0" borderId="3"/>
    <xf numFmtId="0" fontId="15" fillId="0" borderId="3"/>
    <xf numFmtId="0" fontId="15" fillId="0" borderId="3"/>
    <xf numFmtId="0" fontId="15" fillId="0" borderId="3"/>
    <xf numFmtId="0" fontId="15" fillId="0" borderId="3"/>
    <xf numFmtId="0" fontId="15" fillId="0" borderId="3"/>
    <xf numFmtId="0" fontId="9" fillId="0" borderId="2"/>
    <xf numFmtId="0" fontId="9" fillId="0" borderId="2"/>
    <xf numFmtId="0" fontId="9" fillId="0" borderId="2"/>
    <xf numFmtId="0" fontId="9" fillId="0" borderId="2"/>
    <xf numFmtId="0" fontId="9" fillId="0" borderId="2"/>
    <xf numFmtId="0" fontId="9" fillId="0" borderId="2"/>
    <xf numFmtId="0" fontId="9" fillId="0" borderId="2"/>
    <xf numFmtId="0" fontId="9" fillId="0" borderId="2"/>
    <xf numFmtId="0" fontId="9" fillId="0" borderId="2"/>
    <xf numFmtId="0" fontId="1" fillId="0" borderId="0"/>
    <xf numFmtId="44" fontId="1" fillId="0" borderId="0" applyFont="0" applyFill="0" applyBorder="0" applyAlignment="0" applyProtection="0"/>
    <xf numFmtId="166" fontId="5" fillId="0" borderId="0"/>
    <xf numFmtId="166" fontId="5" fillId="0" borderId="0"/>
  </cellStyleXfs>
  <cellXfs count="143">
    <xf numFmtId="0" fontId="0" fillId="0" borderId="0" xfId="0"/>
    <xf numFmtId="166" fontId="0" fillId="0" borderId="1" xfId="0" applyNumberFormat="1" applyBorder="1"/>
    <xf numFmtId="166" fontId="0" fillId="0" borderId="0" xfId="0" applyNumberFormat="1"/>
    <xf numFmtId="0" fontId="9" fillId="0" borderId="0" xfId="60"/>
    <xf numFmtId="166" fontId="11" fillId="0" borderId="0" xfId="60" applyNumberFormat="1" applyFont="1"/>
    <xf numFmtId="166" fontId="9" fillId="0" borderId="2" xfId="60" applyNumberFormat="1" applyBorder="1"/>
    <xf numFmtId="0" fontId="9" fillId="0" borderId="2" xfId="60" applyBorder="1"/>
    <xf numFmtId="0" fontId="0" fillId="0" borderId="2" xfId="0" applyBorder="1"/>
    <xf numFmtId="166" fontId="10" fillId="0" borderId="2" xfId="60" applyNumberFormat="1" applyFont="1" applyBorder="1"/>
    <xf numFmtId="166" fontId="19" fillId="0" borderId="0" xfId="0" applyNumberFormat="1" applyFont="1"/>
    <xf numFmtId="166" fontId="20" fillId="0" borderId="2" xfId="60" quotePrefix="1" applyNumberFormat="1" applyFont="1" applyBorder="1" applyAlignment="1">
      <alignment horizontal="right"/>
    </xf>
    <xf numFmtId="0" fontId="16" fillId="0" borderId="0" xfId="0" applyFont="1" applyAlignment="1">
      <alignment wrapText="1"/>
    </xf>
    <xf numFmtId="0" fontId="18" fillId="0" borderId="0" xfId="0" applyFont="1" applyAlignment="1">
      <alignment horizontal="right" wrapText="1"/>
    </xf>
    <xf numFmtId="0" fontId="16" fillId="0" borderId="0" xfId="0" applyFont="1" applyAlignment="1">
      <alignment vertical="top" wrapText="1"/>
    </xf>
    <xf numFmtId="0" fontId="18" fillId="0" borderId="0" xfId="0" applyFont="1" applyAlignment="1">
      <alignment horizontal="right" vertical="top" wrapText="1"/>
    </xf>
    <xf numFmtId="0" fontId="21" fillId="0" borderId="0" xfId="0" applyFont="1" applyAlignment="1">
      <alignment horizontal="right" wrapText="1"/>
    </xf>
    <xf numFmtId="0" fontId="4" fillId="0" borderId="3" xfId="2"/>
    <xf numFmtId="0" fontId="4" fillId="0" borderId="3" xfId="3"/>
    <xf numFmtId="0" fontId="4" fillId="0" borderId="3" xfId="4"/>
    <xf numFmtId="0" fontId="4" fillId="0" borderId="3" xfId="5"/>
    <xf numFmtId="0" fontId="4" fillId="0" borderId="3" xfId="6"/>
    <xf numFmtId="0" fontId="4" fillId="0" borderId="3" xfId="7"/>
    <xf numFmtId="0" fontId="4" fillId="0" borderId="3" xfId="8"/>
    <xf numFmtId="0" fontId="4" fillId="0" borderId="3" xfId="9"/>
    <xf numFmtId="49" fontId="4" fillId="2" borderId="3" xfId="1" quotePrefix="1"/>
    <xf numFmtId="0" fontId="5" fillId="0" borderId="2" xfId="19"/>
    <xf numFmtId="0" fontId="5" fillId="0" borderId="2" xfId="20"/>
    <xf numFmtId="0" fontId="5" fillId="0" borderId="2" xfId="21"/>
    <xf numFmtId="0" fontId="5" fillId="0" borderId="2" xfId="22"/>
    <xf numFmtId="0" fontId="5" fillId="0" borderId="2" xfId="23"/>
    <xf numFmtId="0" fontId="5" fillId="0" borderId="2" xfId="24"/>
    <xf numFmtId="0" fontId="5" fillId="0" borderId="2" xfId="25"/>
    <xf numFmtId="0" fontId="5" fillId="0" borderId="2" xfId="26"/>
    <xf numFmtId="0" fontId="5" fillId="0" borderId="2" xfId="27"/>
    <xf numFmtId="0" fontId="4" fillId="0" borderId="1" xfId="44"/>
    <xf numFmtId="0" fontId="4" fillId="0" borderId="1" xfId="45"/>
    <xf numFmtId="0" fontId="4" fillId="0" borderId="1" xfId="46"/>
    <xf numFmtId="0" fontId="4" fillId="0" borderId="6" xfId="47"/>
    <xf numFmtId="0" fontId="4" fillId="0" borderId="3" xfId="48"/>
    <xf numFmtId="0" fontId="4" fillId="0" borderId="3" xfId="49"/>
    <xf numFmtId="0" fontId="4" fillId="0" borderId="3" xfId="50"/>
    <xf numFmtId="0" fontId="4" fillId="0" borderId="7" xfId="51"/>
    <xf numFmtId="169" fontId="4" fillId="0" borderId="3" xfId="58"/>
    <xf numFmtId="0" fontId="5" fillId="0" borderId="0" xfId="28"/>
    <xf numFmtId="0" fontId="5" fillId="0" borderId="0" xfId="29"/>
    <xf numFmtId="0" fontId="5" fillId="0" borderId="0" xfId="30"/>
    <xf numFmtId="0" fontId="5" fillId="0" borderId="4" xfId="31"/>
    <xf numFmtId="0" fontId="5" fillId="0" borderId="0" xfId="32"/>
    <xf numFmtId="0" fontId="5" fillId="0" borderId="0" xfId="33"/>
    <xf numFmtId="0" fontId="5" fillId="0" borderId="0" xfId="34"/>
    <xf numFmtId="0" fontId="5" fillId="0" borderId="5" xfId="35"/>
    <xf numFmtId="169" fontId="5" fillId="0" borderId="0" xfId="54"/>
    <xf numFmtId="167" fontId="4" fillId="0" borderId="3" xfId="56"/>
    <xf numFmtId="0" fontId="0" fillId="0" borderId="9" xfId="0" applyBorder="1"/>
    <xf numFmtId="0" fontId="0" fillId="0" borderId="4" xfId="0" applyBorder="1"/>
    <xf numFmtId="0" fontId="0" fillId="0" borderId="0" xfId="0" applyAlignment="1">
      <alignment horizontal="left"/>
    </xf>
    <xf numFmtId="0" fontId="5" fillId="0" borderId="0" xfId="35" applyBorder="1"/>
    <xf numFmtId="169" fontId="5" fillId="0" borderId="4" xfId="54" applyBorder="1"/>
    <xf numFmtId="166" fontId="22" fillId="0" borderId="0" xfId="60" applyNumberFormat="1" applyFont="1"/>
    <xf numFmtId="49" fontId="4" fillId="0" borderId="3" xfId="1" quotePrefix="1" applyFill="1"/>
    <xf numFmtId="178" fontId="23" fillId="0" borderId="1" xfId="158" applyNumberFormat="1" applyFont="1" applyBorder="1"/>
    <xf numFmtId="166" fontId="23" fillId="0" borderId="1" xfId="158" applyFont="1" applyBorder="1"/>
    <xf numFmtId="166" fontId="23" fillId="0" borderId="0" xfId="158" applyFont="1"/>
    <xf numFmtId="0" fontId="24" fillId="0" borderId="0" xfId="60" applyFont="1"/>
    <xf numFmtId="0" fontId="24" fillId="0" borderId="2" xfId="60" applyFont="1" applyBorder="1"/>
    <xf numFmtId="166" fontId="23" fillId="0" borderId="2" xfId="158" applyFont="1" applyBorder="1"/>
    <xf numFmtId="166" fontId="25" fillId="0" borderId="2" xfId="60" applyNumberFormat="1" applyFont="1" applyBorder="1"/>
    <xf numFmtId="166" fontId="26" fillId="0" borderId="2" xfId="60" quotePrefix="1" applyNumberFormat="1" applyFont="1" applyBorder="1" applyAlignment="1">
      <alignment horizontal="right"/>
    </xf>
    <xf numFmtId="166" fontId="27" fillId="0" borderId="0" xfId="158" applyFont="1" applyAlignment="1">
      <alignment vertical="center" wrapText="1"/>
    </xf>
    <xf numFmtId="166" fontId="28" fillId="0" borderId="0" xfId="158" applyFont="1" applyAlignment="1">
      <alignment horizontal="right" vertical="center" wrapText="1"/>
    </xf>
    <xf numFmtId="166" fontId="24" fillId="0" borderId="0" xfId="60" applyNumberFormat="1" applyFont="1"/>
    <xf numFmtId="0" fontId="23" fillId="0" borderId="0" xfId="158" applyNumberFormat="1" applyFont="1"/>
    <xf numFmtId="0" fontId="23" fillId="5" borderId="6" xfId="158" applyNumberFormat="1" applyFont="1" applyFill="1" applyBorder="1" applyAlignment="1">
      <alignment horizontal="centerContinuous"/>
    </xf>
    <xf numFmtId="0" fontId="23" fillId="5" borderId="3" xfId="158" applyNumberFormat="1" applyFont="1" applyFill="1" applyBorder="1" applyAlignment="1">
      <alignment horizontal="centerContinuous"/>
    </xf>
    <xf numFmtId="0" fontId="23" fillId="5" borderId="7" xfId="158" applyNumberFormat="1" applyFont="1" applyFill="1" applyBorder="1" applyAlignment="1">
      <alignment horizontal="centerContinuous"/>
    </xf>
    <xf numFmtId="0" fontId="23" fillId="6" borderId="3" xfId="158" applyNumberFormat="1" applyFont="1" applyFill="1" applyBorder="1" applyAlignment="1">
      <alignment horizontal="centerContinuous"/>
    </xf>
    <xf numFmtId="0" fontId="23" fillId="6" borderId="7" xfId="158" applyNumberFormat="1" applyFont="1" applyFill="1" applyBorder="1" applyAlignment="1">
      <alignment horizontal="centerContinuous"/>
    </xf>
    <xf numFmtId="0" fontId="23" fillId="7" borderId="3" xfId="158" applyNumberFormat="1" applyFont="1" applyFill="1" applyBorder="1" applyAlignment="1">
      <alignment horizontal="centerContinuous"/>
    </xf>
    <xf numFmtId="0" fontId="23" fillId="7" borderId="7" xfId="158" applyNumberFormat="1" applyFont="1" applyFill="1" applyBorder="1" applyAlignment="1">
      <alignment horizontal="centerContinuous"/>
    </xf>
    <xf numFmtId="178" fontId="23" fillId="8" borderId="11" xfId="158" applyNumberFormat="1" applyFont="1" applyFill="1" applyBorder="1" applyAlignment="1">
      <alignment horizontal="center" vertical="top"/>
    </xf>
    <xf numFmtId="166" fontId="23" fillId="8" borderId="11" xfId="158" applyFont="1" applyFill="1" applyBorder="1" applyAlignment="1">
      <alignment horizontal="center" vertical="top"/>
    </xf>
    <xf numFmtId="166" fontId="23" fillId="8" borderId="11" xfId="158" applyFont="1" applyFill="1" applyBorder="1" applyAlignment="1">
      <alignment vertical="top"/>
    </xf>
    <xf numFmtId="166" fontId="23" fillId="8" borderId="11" xfId="158" applyFont="1" applyFill="1" applyBorder="1" applyAlignment="1">
      <alignment horizontal="center" vertical="top" wrapText="1"/>
    </xf>
    <xf numFmtId="166" fontId="23" fillId="8" borderId="6" xfId="158" applyFont="1" applyFill="1" applyBorder="1" applyAlignment="1">
      <alignment horizontal="center" vertical="top"/>
    </xf>
    <xf numFmtId="166" fontId="23" fillId="9" borderId="11" xfId="158" applyFont="1" applyFill="1" applyBorder="1" applyAlignment="1">
      <alignment vertical="top"/>
    </xf>
    <xf numFmtId="166" fontId="23" fillId="10" borderId="3" xfId="158" applyFont="1" applyFill="1" applyBorder="1" applyAlignment="1">
      <alignment horizontal="right" vertical="top"/>
    </xf>
    <xf numFmtId="166" fontId="23" fillId="10" borderId="7" xfId="158" applyFont="1" applyFill="1" applyBorder="1" applyAlignment="1">
      <alignment horizontal="right" vertical="top"/>
    </xf>
    <xf numFmtId="166" fontId="23" fillId="11" borderId="3" xfId="158" applyFont="1" applyFill="1" applyBorder="1" applyAlignment="1">
      <alignment horizontal="right" vertical="top"/>
    </xf>
    <xf numFmtId="166" fontId="23" fillId="11" borderId="7" xfId="158" applyFont="1" applyFill="1" applyBorder="1" applyAlignment="1">
      <alignment horizontal="right" vertical="top"/>
    </xf>
    <xf numFmtId="166" fontId="23" fillId="12" borderId="3" xfId="158" applyFont="1" applyFill="1" applyBorder="1" applyAlignment="1">
      <alignment horizontal="right" vertical="top"/>
    </xf>
    <xf numFmtId="166" fontId="23" fillId="12" borderId="7" xfId="158" applyFont="1" applyFill="1" applyBorder="1" applyAlignment="1">
      <alignment horizontal="right" vertical="top"/>
    </xf>
    <xf numFmtId="166" fontId="23" fillId="0" borderId="0" xfId="158" applyFont="1" applyAlignment="1">
      <alignment vertical="top"/>
    </xf>
    <xf numFmtId="0" fontId="23" fillId="0" borderId="0" xfId="0" applyFont="1"/>
    <xf numFmtId="49" fontId="31" fillId="0" borderId="12" xfId="0" applyNumberFormat="1" applyFont="1" applyBorder="1" applyAlignment="1">
      <alignment vertical="top"/>
    </xf>
    <xf numFmtId="0" fontId="23" fillId="0" borderId="13" xfId="0" applyFont="1" applyBorder="1"/>
    <xf numFmtId="0" fontId="23" fillId="0" borderId="13" xfId="0" applyFont="1" applyBorder="1" applyAlignment="1">
      <alignment wrapText="1"/>
    </xf>
    <xf numFmtId="176" fontId="23" fillId="0" borderId="13" xfId="106" applyFont="1" applyFill="1" applyBorder="1" applyAlignment="1"/>
    <xf numFmtId="176" fontId="23" fillId="0" borderId="14" xfId="106" applyFont="1" applyFill="1" applyBorder="1" applyAlignment="1"/>
    <xf numFmtId="176" fontId="23" fillId="0" borderId="12" xfId="106" applyFont="1" applyFill="1" applyBorder="1" applyAlignment="1"/>
    <xf numFmtId="175" fontId="23" fillId="0" borderId="18" xfId="105" applyFont="1" applyBorder="1" applyAlignment="1"/>
    <xf numFmtId="175" fontId="23" fillId="0" borderId="13" xfId="105" applyFont="1" applyBorder="1" applyAlignment="1"/>
    <xf numFmtId="179" fontId="23" fillId="0" borderId="13" xfId="0" applyNumberFormat="1" applyFont="1" applyBorder="1"/>
    <xf numFmtId="180" fontId="23" fillId="0" borderId="19" xfId="0" applyNumberFormat="1" applyFont="1" applyBorder="1"/>
    <xf numFmtId="49" fontId="23" fillId="0" borderId="12" xfId="0" applyNumberFormat="1" applyFont="1" applyBorder="1" applyAlignment="1">
      <alignment vertical="top"/>
    </xf>
    <xf numFmtId="167" fontId="23" fillId="0" borderId="13" xfId="0" applyNumberFormat="1" applyFont="1" applyBorder="1"/>
    <xf numFmtId="1" fontId="23" fillId="13" borderId="12" xfId="0" applyNumberFormat="1" applyFont="1" applyFill="1" applyBorder="1"/>
    <xf numFmtId="0" fontId="23" fillId="13" borderId="13" xfId="0" applyFont="1" applyFill="1" applyBorder="1"/>
    <xf numFmtId="0" fontId="23" fillId="13" borderId="13" xfId="0" applyFont="1" applyFill="1" applyBorder="1" applyAlignment="1">
      <alignment wrapText="1"/>
    </xf>
    <xf numFmtId="176" fontId="23" fillId="13" borderId="13" xfId="106" applyFont="1" applyFill="1" applyBorder="1" applyAlignment="1"/>
    <xf numFmtId="176" fontId="31" fillId="13" borderId="17" xfId="106" applyFont="1" applyFill="1" applyBorder="1" applyAlignment="1"/>
    <xf numFmtId="0" fontId="23" fillId="0" borderId="12" xfId="0" applyFont="1" applyBorder="1" applyAlignment="1">
      <alignment vertical="top"/>
    </xf>
    <xf numFmtId="169" fontId="23" fillId="0" borderId="13" xfId="0" applyNumberFormat="1" applyFont="1" applyBorder="1"/>
    <xf numFmtId="0" fontId="23" fillId="0" borderId="1" xfId="0" applyFont="1" applyBorder="1" applyProtection="1">
      <protection hidden="1"/>
    </xf>
    <xf numFmtId="0" fontId="23" fillId="0" borderId="15" xfId="0" applyFont="1" applyBorder="1" applyProtection="1">
      <protection hidden="1"/>
    </xf>
    <xf numFmtId="0" fontId="25" fillId="0" borderId="21" xfId="0" applyFont="1" applyBorder="1" applyAlignment="1" applyProtection="1">
      <alignment horizontal="right"/>
      <protection hidden="1"/>
    </xf>
    <xf numFmtId="0" fontId="23" fillId="0" borderId="1" xfId="0" applyFont="1" applyBorder="1" applyAlignment="1" applyProtection="1">
      <alignment horizontal="right"/>
      <protection hidden="1"/>
    </xf>
    <xf numFmtId="176" fontId="25" fillId="0" borderId="9" xfId="106" applyFont="1" applyFill="1" applyBorder="1" applyAlignment="1" applyProtection="1">
      <protection hidden="1"/>
    </xf>
    <xf numFmtId="176" fontId="25" fillId="0" borderId="15" xfId="106" applyFont="1" applyFill="1" applyBorder="1" applyAlignment="1" applyProtection="1">
      <protection hidden="1"/>
    </xf>
    <xf numFmtId="0" fontId="23" fillId="0" borderId="9" xfId="0" applyFont="1" applyBorder="1"/>
    <xf numFmtId="0" fontId="23" fillId="0" borderId="0" xfId="0" applyFont="1" applyProtection="1">
      <protection hidden="1"/>
    </xf>
    <xf numFmtId="0" fontId="25" fillId="0" borderId="4" xfId="0" applyFont="1" applyBorder="1" applyAlignment="1" applyProtection="1">
      <alignment horizontal="right"/>
      <protection hidden="1"/>
    </xf>
    <xf numFmtId="0" fontId="23" fillId="0" borderId="4" xfId="0" applyFont="1" applyBorder="1" applyAlignment="1" applyProtection="1">
      <alignment horizontal="right"/>
      <protection hidden="1"/>
    </xf>
    <xf numFmtId="176" fontId="25" fillId="0" borderId="4" xfId="106" applyFont="1" applyFill="1" applyBorder="1" applyAlignment="1" applyProtection="1">
      <protection hidden="1"/>
    </xf>
    <xf numFmtId="176" fontId="25" fillId="0" borderId="5" xfId="106" applyFont="1" applyFill="1" applyBorder="1" applyAlignment="1" applyProtection="1">
      <protection hidden="1"/>
    </xf>
    <xf numFmtId="0" fontId="25" fillId="0" borderId="10" xfId="0" applyFont="1" applyBorder="1" applyAlignment="1" applyProtection="1">
      <alignment horizontal="right"/>
      <protection hidden="1"/>
    </xf>
    <xf numFmtId="9" fontId="23" fillId="0" borderId="10" xfId="0" applyNumberFormat="1" applyFont="1" applyBorder="1" applyAlignment="1" applyProtection="1">
      <alignment horizontal="right"/>
      <protection hidden="1"/>
    </xf>
    <xf numFmtId="176" fontId="25" fillId="0" borderId="10" xfId="106" applyFont="1" applyFill="1" applyBorder="1" applyAlignment="1" applyProtection="1">
      <protection hidden="1"/>
    </xf>
    <xf numFmtId="0" fontId="25" fillId="0" borderId="20" xfId="0" applyFont="1" applyBorder="1" applyAlignment="1" applyProtection="1">
      <alignment horizontal="right"/>
      <protection hidden="1"/>
    </xf>
    <xf numFmtId="0" fontId="23" fillId="0" borderId="20" xfId="0" applyFont="1" applyBorder="1" applyAlignment="1" applyProtection="1">
      <alignment horizontal="right"/>
      <protection hidden="1"/>
    </xf>
    <xf numFmtId="176" fontId="25" fillId="0" borderId="20" xfId="106" applyFont="1" applyFill="1" applyBorder="1" applyAlignment="1" applyProtection="1">
      <protection hidden="1"/>
    </xf>
    <xf numFmtId="176" fontId="25" fillId="0" borderId="16" xfId="106" applyFont="1" applyFill="1" applyBorder="1" applyAlignment="1" applyProtection="1">
      <protection hidden="1"/>
    </xf>
    <xf numFmtId="178" fontId="23" fillId="0" borderId="0" xfId="158" applyNumberFormat="1" applyFont="1"/>
    <xf numFmtId="0" fontId="30" fillId="0" borderId="2" xfId="60" applyFont="1" applyBorder="1"/>
    <xf numFmtId="0" fontId="30" fillId="0" borderId="0" xfId="60" applyFont="1"/>
    <xf numFmtId="0" fontId="23" fillId="0" borderId="13" xfId="0" applyFont="1" applyBorder="1" applyAlignment="1">
      <alignment vertical="top"/>
    </xf>
    <xf numFmtId="169" fontId="5" fillId="0" borderId="4" xfId="31" applyNumberFormat="1"/>
    <xf numFmtId="181" fontId="5" fillId="0" borderId="4" xfId="31" applyNumberFormat="1"/>
    <xf numFmtId="0" fontId="17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166" fontId="29" fillId="0" borderId="0" xfId="158" applyFont="1" applyAlignment="1">
      <alignment horizontal="right" vertical="center" wrapText="1"/>
    </xf>
    <xf numFmtId="166" fontId="24" fillId="0" borderId="0" xfId="158" applyFont="1" applyAlignment="1">
      <alignment horizontal="right" vertical="center" wrapText="1"/>
    </xf>
    <xf numFmtId="166" fontId="23" fillId="8" borderId="6" xfId="158" applyFont="1" applyFill="1" applyBorder="1" applyAlignment="1">
      <alignment horizontal="center" vertical="top" wrapText="1"/>
    </xf>
    <xf numFmtId="166" fontId="23" fillId="8" borderId="7" xfId="158" applyFont="1" applyFill="1" applyBorder="1" applyAlignment="1">
      <alignment horizontal="center" vertical="top" wrapText="1"/>
    </xf>
  </cellXfs>
  <cellStyles count="159">
    <cellStyle name="%" xfId="61" xr:uid="{00000000-0005-0000-0000-000000000000}"/>
    <cellStyle name="Aantal" xfId="62" xr:uid="{00000000-0005-0000-0000-000001000000}"/>
    <cellStyle name="ArticleStyle" xfId="63" xr:uid="{00000000-0005-0000-0000-000002000000}"/>
    <cellStyle name="ArticleStyle 2" xfId="64" xr:uid="{00000000-0005-0000-0000-000003000000}"/>
    <cellStyle name="Artikel" xfId="65" xr:uid="{00000000-0005-0000-0000-000004000000}"/>
    <cellStyle name="D_AD1" xfId="10" xr:uid="{00000000-0005-0000-0000-000005000000}"/>
    <cellStyle name="D_AD2" xfId="11" xr:uid="{00000000-0005-0000-0000-000006000000}"/>
    <cellStyle name="D_AD3" xfId="12" xr:uid="{00000000-0005-0000-0000-000007000000}"/>
    <cellStyle name="D_AD4" xfId="13" xr:uid="{00000000-0005-0000-0000-000008000000}"/>
    <cellStyle name="D_AD5" xfId="14" xr:uid="{00000000-0005-0000-0000-000009000000}"/>
    <cellStyle name="D_AD6" xfId="15" xr:uid="{00000000-0005-0000-0000-00000A000000}"/>
    <cellStyle name="D_AD7" xfId="16" xr:uid="{00000000-0005-0000-0000-00000B000000}"/>
    <cellStyle name="D_AD8" xfId="17" xr:uid="{00000000-0005-0000-0000-00000C000000}"/>
    <cellStyle name="D_AD9" xfId="18" xr:uid="{00000000-0005-0000-0000-00000D000000}"/>
    <cellStyle name="D_AL1" xfId="1" xr:uid="{00000000-0005-0000-0000-00000E000000}"/>
    <cellStyle name="D_AL1 2" xfId="137" xr:uid="{00000000-0005-0000-0000-00000F000000}"/>
    <cellStyle name="D_AL2" xfId="2" xr:uid="{00000000-0005-0000-0000-000010000000}"/>
    <cellStyle name="D_AL2 2" xfId="138" xr:uid="{00000000-0005-0000-0000-000011000000}"/>
    <cellStyle name="D_AL3" xfId="3" xr:uid="{00000000-0005-0000-0000-000012000000}"/>
    <cellStyle name="D_AL3 2" xfId="139" xr:uid="{00000000-0005-0000-0000-000013000000}"/>
    <cellStyle name="D_AL4" xfId="4" xr:uid="{00000000-0005-0000-0000-000014000000}"/>
    <cellStyle name="D_AL4 2" xfId="140" xr:uid="{00000000-0005-0000-0000-000015000000}"/>
    <cellStyle name="D_AL5" xfId="5" xr:uid="{00000000-0005-0000-0000-000016000000}"/>
    <cellStyle name="D_AL5 2" xfId="141" xr:uid="{00000000-0005-0000-0000-000017000000}"/>
    <cellStyle name="D_AL6" xfId="6" xr:uid="{00000000-0005-0000-0000-000018000000}"/>
    <cellStyle name="D_AL6 2" xfId="142" xr:uid="{00000000-0005-0000-0000-000019000000}"/>
    <cellStyle name="D_AL7" xfId="7" xr:uid="{00000000-0005-0000-0000-00001A000000}"/>
    <cellStyle name="D_AL7 2" xfId="143" xr:uid="{00000000-0005-0000-0000-00001B000000}"/>
    <cellStyle name="D_AL8" xfId="8" xr:uid="{00000000-0005-0000-0000-00001C000000}"/>
    <cellStyle name="D_AL8 2" xfId="144" xr:uid="{00000000-0005-0000-0000-00001D000000}"/>
    <cellStyle name="D_AL9" xfId="9" xr:uid="{00000000-0005-0000-0000-00001E000000}"/>
    <cellStyle name="D_AL9 2" xfId="145" xr:uid="{00000000-0005-0000-0000-00001F000000}"/>
    <cellStyle name="D_MI1" xfId="36" xr:uid="{00000000-0005-0000-0000-000020000000}"/>
    <cellStyle name="D_MI2" xfId="37" xr:uid="{00000000-0005-0000-0000-000021000000}"/>
    <cellStyle name="D_MI3" xfId="38" xr:uid="{00000000-0005-0000-0000-000022000000}"/>
    <cellStyle name="D_MI4" xfId="39" xr:uid="{00000000-0005-0000-0000-000023000000}"/>
    <cellStyle name="D_MI5" xfId="40" xr:uid="{00000000-0005-0000-0000-000024000000}"/>
    <cellStyle name="D_MI6" xfId="41" xr:uid="{00000000-0005-0000-0000-000025000000}"/>
    <cellStyle name="D_MI7" xfId="42" xr:uid="{00000000-0005-0000-0000-000026000000}"/>
    <cellStyle name="D_MI8" xfId="43" xr:uid="{00000000-0005-0000-0000-000027000000}"/>
    <cellStyle name="D_ML1" xfId="19" xr:uid="{00000000-0005-0000-0000-000028000000}"/>
    <cellStyle name="D_ML1 2" xfId="146" xr:uid="{00000000-0005-0000-0000-000029000000}"/>
    <cellStyle name="D_ML2" xfId="20" xr:uid="{00000000-0005-0000-0000-00002A000000}"/>
    <cellStyle name="D_ML2 2" xfId="147" xr:uid="{00000000-0005-0000-0000-00002B000000}"/>
    <cellStyle name="D_ML3" xfId="21" xr:uid="{00000000-0005-0000-0000-00002C000000}"/>
    <cellStyle name="D_ML3 2" xfId="148" xr:uid="{00000000-0005-0000-0000-00002D000000}"/>
    <cellStyle name="D_ML4" xfId="22" xr:uid="{00000000-0005-0000-0000-00002E000000}"/>
    <cellStyle name="D_ML4 2" xfId="149" xr:uid="{00000000-0005-0000-0000-00002F000000}"/>
    <cellStyle name="D_ML5" xfId="23" xr:uid="{00000000-0005-0000-0000-000030000000}"/>
    <cellStyle name="D_ML5 2" xfId="150" xr:uid="{00000000-0005-0000-0000-000031000000}"/>
    <cellStyle name="D_ML6" xfId="24" xr:uid="{00000000-0005-0000-0000-000032000000}"/>
    <cellStyle name="D_ML6 2" xfId="151" xr:uid="{00000000-0005-0000-0000-000033000000}"/>
    <cellStyle name="D_ML7" xfId="25" xr:uid="{00000000-0005-0000-0000-000034000000}"/>
    <cellStyle name="D_ML7 2" xfId="152" xr:uid="{00000000-0005-0000-0000-000035000000}"/>
    <cellStyle name="D_ML8" xfId="26" xr:uid="{00000000-0005-0000-0000-000036000000}"/>
    <cellStyle name="D_ML8 2" xfId="153" xr:uid="{00000000-0005-0000-0000-000037000000}"/>
    <cellStyle name="D_ML9" xfId="27" xr:uid="{00000000-0005-0000-0000-000038000000}"/>
    <cellStyle name="D_ML9 2" xfId="154" xr:uid="{00000000-0005-0000-0000-000039000000}"/>
    <cellStyle name="D_MM1" xfId="28" xr:uid="{00000000-0005-0000-0000-00003A000000}"/>
    <cellStyle name="D_MM2" xfId="29" xr:uid="{00000000-0005-0000-0000-00003B000000}"/>
    <cellStyle name="D_MM3" xfId="30" xr:uid="{00000000-0005-0000-0000-00003C000000}"/>
    <cellStyle name="D_MM4" xfId="31" xr:uid="{00000000-0005-0000-0000-00003D000000}"/>
    <cellStyle name="D_MM5" xfId="32" xr:uid="{00000000-0005-0000-0000-00003E000000}"/>
    <cellStyle name="D_MM6" xfId="33" xr:uid="{00000000-0005-0000-0000-00003F000000}"/>
    <cellStyle name="D_MM7" xfId="34" xr:uid="{00000000-0005-0000-0000-000040000000}"/>
    <cellStyle name="D_MM8" xfId="35" xr:uid="{00000000-0005-0000-0000-000041000000}"/>
    <cellStyle name="D_MQ_0" xfId="52" xr:uid="{00000000-0005-0000-0000-000042000000}"/>
    <cellStyle name="D_MQ_1" xfId="53" xr:uid="{00000000-0005-0000-0000-000043000000}"/>
    <cellStyle name="D_MQ_2" xfId="54" xr:uid="{00000000-0005-0000-0000-000044000000}"/>
    <cellStyle name="D_MQ_3" xfId="55" xr:uid="{00000000-0005-0000-0000-000045000000}"/>
    <cellStyle name="D_MT1" xfId="44" xr:uid="{00000000-0005-0000-0000-000046000000}"/>
    <cellStyle name="D_MT2" xfId="45" xr:uid="{00000000-0005-0000-0000-000047000000}"/>
    <cellStyle name="D_MT3" xfId="46" xr:uid="{00000000-0005-0000-0000-000048000000}"/>
    <cellStyle name="D_MT4" xfId="47" xr:uid="{00000000-0005-0000-0000-000049000000}"/>
    <cellStyle name="D_MT5" xfId="48" xr:uid="{00000000-0005-0000-0000-00004A000000}"/>
    <cellStyle name="D_MT6" xfId="49" xr:uid="{00000000-0005-0000-0000-00004B000000}"/>
    <cellStyle name="D_MT7" xfId="50" xr:uid="{00000000-0005-0000-0000-00004C000000}"/>
    <cellStyle name="D_MT8" xfId="51" xr:uid="{00000000-0005-0000-0000-00004D000000}"/>
    <cellStyle name="D_TQ_0" xfId="56" xr:uid="{00000000-0005-0000-0000-00004E000000}"/>
    <cellStyle name="D_TQ_1" xfId="57" xr:uid="{00000000-0005-0000-0000-00004F000000}"/>
    <cellStyle name="D_TQ_2" xfId="58" xr:uid="{00000000-0005-0000-0000-000050000000}"/>
    <cellStyle name="D_TQ_3" xfId="59" xr:uid="{00000000-0005-0000-0000-000051000000}"/>
    <cellStyle name="dag" xfId="66" xr:uid="{00000000-0005-0000-0000-000052000000}"/>
    <cellStyle name="dm²" xfId="67" xr:uid="{00000000-0005-0000-0000-000053000000}"/>
    <cellStyle name="dm³" xfId="68" xr:uid="{00000000-0005-0000-0000-000054000000}"/>
    <cellStyle name="Eur/u" xfId="69" xr:uid="{00000000-0005-0000-0000-000055000000}"/>
    <cellStyle name="FF" xfId="70" xr:uid="{00000000-0005-0000-0000-000056000000}"/>
    <cellStyle name="GP" xfId="71" xr:uid="{00000000-0005-0000-0000-000057000000}"/>
    <cellStyle name="hl" xfId="72" xr:uid="{00000000-0005-0000-0000-000058000000}"/>
    <cellStyle name="hr" xfId="73" xr:uid="{00000000-0005-0000-0000-000059000000}"/>
    <cellStyle name="jour" xfId="74" xr:uid="{00000000-0005-0000-0000-00005A000000}"/>
    <cellStyle name="kg" xfId="75" xr:uid="{00000000-0005-0000-0000-00005B000000}"/>
    <cellStyle name="kW" xfId="76" xr:uid="{00000000-0005-0000-0000-00005C000000}"/>
    <cellStyle name="l" xfId="77" xr:uid="{00000000-0005-0000-0000-00005D000000}"/>
    <cellStyle name="lm" xfId="78" xr:uid="{00000000-0005-0000-0000-00005E000000}"/>
    <cellStyle name="m" xfId="79" xr:uid="{00000000-0005-0000-0000-00005F000000}"/>
    <cellStyle name="m_Book1" xfId="80" xr:uid="{00000000-0005-0000-0000-000060000000}"/>
    <cellStyle name="m_measure2008" xfId="81" xr:uid="{00000000-0005-0000-0000-000061000000}"/>
    <cellStyle name="m_Vord_gegevens_dialog" xfId="82" xr:uid="{00000000-0005-0000-0000-000062000000}"/>
    <cellStyle name="m_Vord_module" xfId="83" xr:uid="{00000000-0005-0000-0000-000063000000}"/>
    <cellStyle name="m1" xfId="84" xr:uid="{00000000-0005-0000-0000-000064000000}"/>
    <cellStyle name="m2" xfId="85" xr:uid="{00000000-0005-0000-0000-000065000000}"/>
    <cellStyle name="m²" xfId="86" xr:uid="{00000000-0005-0000-0000-000066000000}"/>
    <cellStyle name="m2_Book1" xfId="87" xr:uid="{00000000-0005-0000-0000-000067000000}"/>
    <cellStyle name="m3" xfId="88" xr:uid="{00000000-0005-0000-0000-000068000000}"/>
    <cellStyle name="m³" xfId="89" xr:uid="{00000000-0005-0000-0000-000069000000}"/>
    <cellStyle name="m3_Book1" xfId="90" xr:uid="{00000000-0005-0000-0000-00006A000000}"/>
    <cellStyle name="marche" xfId="91" xr:uid="{00000000-0005-0000-0000-00006B000000}"/>
    <cellStyle name="mc" xfId="92" xr:uid="{00000000-0005-0000-0000-00006C000000}"/>
    <cellStyle name="mnd" xfId="93" xr:uid="{00000000-0005-0000-0000-00006D000000}"/>
    <cellStyle name="mois" xfId="94" xr:uid="{00000000-0005-0000-0000-00006E000000}"/>
    <cellStyle name="Multiplication" xfId="95" xr:uid="{00000000-0005-0000-0000-00006F000000}"/>
    <cellStyle name="Normal 2" xfId="96" xr:uid="{00000000-0005-0000-0000-000071000000}"/>
    <cellStyle name="Normal 2 2" xfId="97" xr:uid="{00000000-0005-0000-0000-000072000000}"/>
    <cellStyle name="Normal 2 3" xfId="98" xr:uid="{00000000-0005-0000-0000-000073000000}"/>
    <cellStyle name="Normal 2_Book1" xfId="99" xr:uid="{00000000-0005-0000-0000-000074000000}"/>
    <cellStyle name="Normal 3" xfId="100" xr:uid="{00000000-0005-0000-0000-000075000000}"/>
    <cellStyle name="Normal 4" xfId="60" xr:uid="{00000000-0005-0000-0000-000076000000}"/>
    <cellStyle name="Normal 5" xfId="158" xr:uid="{5F15F5D1-C0E0-4B85-908D-D79A55A5CB36}"/>
    <cellStyle name="p" xfId="101" xr:uid="{00000000-0005-0000-0000-000077000000}"/>
    <cellStyle name="PG" xfId="102" xr:uid="{00000000-0005-0000-0000-000078000000}"/>
    <cellStyle name="pièce" xfId="103" xr:uid="{00000000-0005-0000-0000-000079000000}"/>
    <cellStyle name="PM" xfId="104" xr:uid="{00000000-0005-0000-0000-00007A000000}"/>
    <cellStyle name="PriceIncl" xfId="105" xr:uid="{00000000-0005-0000-0000-00007B000000}"/>
    <cellStyle name="PriceStyle" xfId="106" xr:uid="{00000000-0005-0000-0000-00007C000000}"/>
    <cellStyle name="PriceStyle 2" xfId="107" xr:uid="{00000000-0005-0000-0000-00007D000000}"/>
    <cellStyle name="prijs" xfId="108" xr:uid="{00000000-0005-0000-0000-00007E000000}"/>
    <cellStyle name="prijs 2" xfId="109" xr:uid="{00000000-0005-0000-0000-00007F000000}"/>
    <cellStyle name="PT" xfId="110" xr:uid="{00000000-0005-0000-0000-000080000000}"/>
    <cellStyle name="semaine" xfId="111" xr:uid="{00000000-0005-0000-0000-000081000000}"/>
    <cellStyle name="SOG" xfId="112" xr:uid="{00000000-0005-0000-0000-000082000000}"/>
    <cellStyle name="SR" xfId="113" xr:uid="{00000000-0005-0000-0000-000083000000}"/>
    <cellStyle name="st" xfId="114" xr:uid="{00000000-0005-0000-0000-000084000000}"/>
    <cellStyle name="Standaard" xfId="0" builtinId="0"/>
    <cellStyle name="Standaard 2" xfId="115" xr:uid="{00000000-0005-0000-0000-000085000000}"/>
    <cellStyle name="Standaard 3" xfId="155" xr:uid="{A07164E9-B75C-4A93-ADCE-2F65B5E6DCF4}"/>
    <cellStyle name="Standaard 4" xfId="157" xr:uid="{8FFD6FEF-CA73-4A39-98B9-35484EAA3C70}"/>
    <cellStyle name="stuk" xfId="116" xr:uid="{00000000-0005-0000-0000-000086000000}"/>
    <cellStyle name="stuk 2" xfId="117" xr:uid="{00000000-0005-0000-0000-000087000000}"/>
    <cellStyle name="SubarticleStyle" xfId="118" xr:uid="{00000000-0005-0000-0000-000088000000}"/>
    <cellStyle name="Subartikel" xfId="119" xr:uid="{00000000-0005-0000-0000-000089000000}"/>
    <cellStyle name="Subartikel 2" xfId="120" xr:uid="{00000000-0005-0000-0000-00008A000000}"/>
    <cellStyle name="Subtitel" xfId="121" xr:uid="{00000000-0005-0000-0000-00008B000000}"/>
    <cellStyle name="Subtitel 2" xfId="122" xr:uid="{00000000-0005-0000-0000-00008C000000}"/>
    <cellStyle name="T" xfId="123" xr:uid="{00000000-0005-0000-0000-00008D000000}"/>
    <cellStyle name="Titel" xfId="124" xr:uid="{00000000-0005-0000-0000-00008E000000}"/>
    <cellStyle name="Titel 2" xfId="125" xr:uid="{00000000-0005-0000-0000-00008F000000}"/>
    <cellStyle name="ton" xfId="126" xr:uid="{00000000-0005-0000-0000-000090000000}"/>
    <cellStyle name="tonne" xfId="127" xr:uid="{00000000-0005-0000-0000-000091000000}"/>
    <cellStyle name="totaal" xfId="128" xr:uid="{00000000-0005-0000-0000-000092000000}"/>
    <cellStyle name="totaal 2" xfId="129" xr:uid="{00000000-0005-0000-0000-000093000000}"/>
    <cellStyle name="TotalStyle" xfId="130" xr:uid="{00000000-0005-0000-0000-000094000000}"/>
    <cellStyle name="TP" xfId="131" xr:uid="{00000000-0005-0000-0000-000095000000}"/>
    <cellStyle name="trede" xfId="132" xr:uid="{00000000-0005-0000-0000-000096000000}"/>
    <cellStyle name="uur" xfId="133" xr:uid="{00000000-0005-0000-0000-000097000000}"/>
    <cellStyle name="Valuta 2" xfId="156" xr:uid="{614F7B09-C054-40C6-8778-BF44C5BFC73E}"/>
    <cellStyle name="W" xfId="134" xr:uid="{00000000-0005-0000-0000-000098000000}"/>
    <cellStyle name="week" xfId="135" xr:uid="{00000000-0005-0000-0000-000099000000}"/>
    <cellStyle name="x" xfId="136" xr:uid="{00000000-0005-0000-0000-00009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154609</xdr:colOff>
      <xdr:row>1</xdr:row>
      <xdr:rowOff>99391</xdr:rowOff>
    </xdr:from>
    <xdr:to>
      <xdr:col>1</xdr:col>
      <xdr:colOff>627882</xdr:colOff>
      <xdr:row>7</xdr:row>
      <xdr:rowOff>154385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28B9C8A9-F279-4DFD-9952-E927766CA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09" y="99391"/>
          <a:ext cx="1152447" cy="2613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28575</xdr:rowOff>
    </xdr:from>
    <xdr:to>
      <xdr:col>2</xdr:col>
      <xdr:colOff>459195</xdr:colOff>
      <xdr:row>7</xdr:row>
      <xdr:rowOff>199111</xdr:rowOff>
    </xdr:to>
    <xdr:pic>
      <xdr:nvPicPr>
        <xdr:cNvPr id="2" name="Afbeelding 2">
          <a:extLst>
            <a:ext uri="{FF2B5EF4-FFF2-40B4-BE49-F238E27FC236}">
              <a16:creationId xmlns:a16="http://schemas.microsoft.com/office/drawing/2014/main" id="{52A4ACA4-4BFF-4349-9747-A028EC88D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87920" cy="37056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/A_architectuur/OCJ20%20-%20Oostakker%20Jarre%20&amp;%20Charlotte/07_PV/_01-dossier/OCJ20_APVR_afbraak-,%20grond-%20en%20metselwerken-MS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M_si+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Startup" Target="mfunc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tail"/>
      <sheetName val="Samenvatting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tail"/>
    </sheetNames>
    <sheetDataSet>
      <sheetData sheetId="0">
        <row r="4">
          <cell r="L4" t="str">
            <v xml:space="preserve">A    </v>
          </cell>
          <cell r="M4" t="str">
            <v>Klad</v>
          </cell>
        </row>
        <row r="5">
          <cell r="L5" t="str">
            <v xml:space="preserve">B    </v>
          </cell>
          <cell r="M5" t="str">
            <v>Voorstel</v>
          </cell>
        </row>
        <row r="6">
          <cell r="L6" t="str">
            <v xml:space="preserve">C    </v>
          </cell>
          <cell r="M6" t="str">
            <v>Herzien</v>
          </cell>
        </row>
        <row r="7">
          <cell r="L7" t="str">
            <v xml:space="preserve">D    </v>
          </cell>
          <cell r="M7" t="str">
            <v>Goedgekeurd</v>
          </cell>
        </row>
        <row r="8">
          <cell r="L8" t="str">
            <v xml:space="preserve">E    </v>
          </cell>
          <cell r="M8" t="str">
            <v>Finaal</v>
          </cell>
        </row>
        <row r="9">
          <cell r="L9" t="str">
            <v xml:space="preserve">F    </v>
          </cell>
          <cell r="M9" t="str">
            <v>Gearchiveerd</v>
          </cell>
        </row>
        <row r="10">
          <cell r="L10" t="str">
            <v xml:space="preserve">G    </v>
          </cell>
        </row>
        <row r="11">
          <cell r="L11" t="str">
            <v xml:space="preserve">H    </v>
          </cell>
        </row>
        <row r="12">
          <cell r="L12" t="str">
            <v>I</v>
          </cell>
        </row>
        <row r="13">
          <cell r="L13" t="str">
            <v>J</v>
          </cell>
        </row>
        <row r="14">
          <cell r="L14" t="str">
            <v>K</v>
          </cell>
        </row>
        <row r="15">
          <cell r="L15" t="str">
            <v>R</v>
          </cell>
        </row>
        <row r="16">
          <cell r="L16" t="str">
            <v>S</v>
          </cell>
        </row>
        <row r="17">
          <cell r="L17" t="str">
            <v>T</v>
          </cell>
        </row>
        <row r="18">
          <cell r="L18" t="str">
            <v>U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lad1"/>
      <sheetName val="Macro1"/>
      <sheetName val="Functions_languageSpecific"/>
      <sheetName val="mfunc"/>
    </sheetNames>
    <definedNames>
      <definedName name="ArticleCode"/>
      <definedName name="ArticleDescription"/>
      <definedName name="ArticleMeasureType"/>
      <definedName name="ArticleMeasureUnit"/>
      <definedName name="ArticleQuantity"/>
    </defined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M_N">
    <pageSetUpPr fitToPage="1"/>
  </sheetPr>
  <dimension ref="A1:XFC410"/>
  <sheetViews>
    <sheetView showZeros="0" topLeftCell="A379" zoomScale="110" zoomScaleNormal="110" workbookViewId="0">
      <selection activeCell="C410" sqref="C410"/>
    </sheetView>
  </sheetViews>
  <sheetFormatPr defaultColWidth="0" defaultRowHeight="12.75"/>
  <cols>
    <col min="1" max="1" width="10.7109375" style="2" customWidth="1"/>
    <col min="2" max="2" width="14" style="2" customWidth="1"/>
    <col min="3" max="3" width="24.42578125" style="2" customWidth="1"/>
    <col min="4" max="6" width="10.7109375" style="2" customWidth="1"/>
    <col min="7" max="8" width="5.7109375" style="2" customWidth="1"/>
    <col min="9" max="9" width="12.7109375" style="2" customWidth="1"/>
    <col min="10" max="10" width="2.28515625" style="2" customWidth="1"/>
    <col min="11" max="16383" width="9.140625" style="2" hidden="1"/>
    <col min="16384" max="16384" width="0.7109375" style="2" hidden="1"/>
  </cols>
  <sheetData>
    <row r="1" spans="1:13" ht="36.75" hidden="1" customHeight="1">
      <c r="A1" s="1" t="s">
        <v>25</v>
      </c>
      <c r="B1" s="1" t="s">
        <v>26</v>
      </c>
      <c r="C1" s="1"/>
      <c r="D1" s="1"/>
      <c r="E1" s="1"/>
      <c r="F1" s="1"/>
      <c r="G1" s="1"/>
      <c r="H1" s="1"/>
      <c r="I1" s="1"/>
      <c r="J1" s="1"/>
    </row>
    <row r="2" spans="1:13" customFormat="1" ht="17.25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3" customFormat="1" ht="17.25" hidden="1" customHeight="1">
      <c r="A3" s="6"/>
      <c r="B3" s="7"/>
      <c r="C3" s="6"/>
      <c r="D3" s="6"/>
      <c r="E3" s="6"/>
      <c r="F3" s="8"/>
      <c r="G3" s="6"/>
      <c r="H3" s="6"/>
      <c r="I3" s="10" t="s">
        <v>11</v>
      </c>
      <c r="J3" s="6"/>
    </row>
    <row r="4" spans="1:13" customFormat="1" hidden="1">
      <c r="A4" s="11" t="s">
        <v>8</v>
      </c>
      <c r="B4" s="15" t="s">
        <v>12</v>
      </c>
      <c r="C4" s="3"/>
      <c r="D4" s="3"/>
      <c r="E4" s="137" t="s">
        <v>15</v>
      </c>
      <c r="F4" s="137"/>
      <c r="G4" s="137"/>
      <c r="H4" s="137"/>
      <c r="I4" s="137"/>
      <c r="J4" s="3"/>
      <c r="L4" t="s">
        <v>0</v>
      </c>
      <c r="M4" t="s">
        <v>1</v>
      </c>
    </row>
    <row r="5" spans="1:13" customFormat="1" ht="12" hidden="1" customHeight="1">
      <c r="A5" s="11" t="s">
        <v>9</v>
      </c>
      <c r="B5" s="12" t="s">
        <v>13</v>
      </c>
      <c r="C5" s="3"/>
      <c r="D5" s="138"/>
      <c r="E5" s="138"/>
      <c r="F5" s="138"/>
      <c r="G5" s="138"/>
      <c r="H5" s="138"/>
      <c r="I5" s="138"/>
      <c r="J5" s="3"/>
      <c r="L5" t="s">
        <v>2</v>
      </c>
      <c r="M5" t="s">
        <v>3</v>
      </c>
    </row>
    <row r="6" spans="1:13" customFormat="1" hidden="1">
      <c r="A6" s="13" t="s">
        <v>10</v>
      </c>
      <c r="B6" s="14" t="s">
        <v>14</v>
      </c>
      <c r="C6" s="3"/>
      <c r="D6" s="3"/>
      <c r="E6" s="3"/>
      <c r="F6" s="3"/>
      <c r="G6" s="3"/>
      <c r="H6" s="3"/>
      <c r="I6" s="4"/>
      <c r="J6" s="4"/>
      <c r="L6" t="s">
        <v>4</v>
      </c>
      <c r="M6" t="s">
        <v>5</v>
      </c>
    </row>
    <row r="7" spans="1:13" customFormat="1" ht="3" hidden="1" customHeight="1">
      <c r="A7" s="5"/>
      <c r="B7" s="5"/>
      <c r="C7" s="5"/>
      <c r="D7" s="5"/>
      <c r="E7" s="5"/>
      <c r="F7" s="5"/>
      <c r="G7" s="5"/>
      <c r="H7" s="5"/>
      <c r="I7" s="5"/>
      <c r="J7" s="5"/>
      <c r="L7" t="s">
        <v>6</v>
      </c>
      <c r="M7" t="s">
        <v>7</v>
      </c>
    </row>
    <row r="8" spans="1:13" customFormat="1" ht="17.25" customHeight="1">
      <c r="A8" s="6"/>
      <c r="B8" s="7"/>
      <c r="C8" s="6"/>
      <c r="D8" s="6"/>
      <c r="E8" s="6"/>
      <c r="F8" s="8"/>
      <c r="G8" s="6"/>
      <c r="H8" s="6"/>
      <c r="I8" s="10" t="s">
        <v>217</v>
      </c>
      <c r="J8" s="6"/>
    </row>
    <row r="9" spans="1:13" customFormat="1">
      <c r="A9" s="11" t="s">
        <v>8</v>
      </c>
      <c r="B9" s="15" t="s">
        <v>215</v>
      </c>
      <c r="C9" s="3"/>
      <c r="D9" s="3"/>
      <c r="E9" s="137" t="s">
        <v>124</v>
      </c>
      <c r="F9" s="137"/>
      <c r="G9" s="137"/>
      <c r="H9" s="137"/>
      <c r="I9" s="137"/>
      <c r="J9" s="3"/>
      <c r="L9" t="s">
        <v>0</v>
      </c>
      <c r="M9" t="s">
        <v>1</v>
      </c>
    </row>
    <row r="10" spans="1:13" customFormat="1" ht="12" customHeight="1">
      <c r="A10" s="11" t="s">
        <v>9</v>
      </c>
      <c r="B10" s="12" t="s">
        <v>218</v>
      </c>
      <c r="C10" s="3"/>
      <c r="D10" s="138"/>
      <c r="E10" s="138"/>
      <c r="F10" s="138"/>
      <c r="G10" s="138"/>
      <c r="H10" s="138"/>
      <c r="I10" s="138"/>
      <c r="J10" s="3"/>
      <c r="L10" t="s">
        <v>2</v>
      </c>
      <c r="M10" t="s">
        <v>3</v>
      </c>
    </row>
    <row r="11" spans="1:13" customFormat="1">
      <c r="A11" s="13" t="s">
        <v>10</v>
      </c>
      <c r="B11" s="14" t="s">
        <v>216</v>
      </c>
      <c r="C11" s="3"/>
      <c r="D11" s="3"/>
      <c r="E11" s="3"/>
      <c r="F11" s="3"/>
      <c r="G11" s="3"/>
      <c r="H11" s="3"/>
      <c r="I11" s="58"/>
      <c r="J11" s="4"/>
      <c r="L11" t="s">
        <v>4</v>
      </c>
      <c r="M11" t="s">
        <v>5</v>
      </c>
    </row>
    <row r="12" spans="1:13" customFormat="1" ht="3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L12" t="s">
        <v>6</v>
      </c>
      <c r="M12" t="s">
        <v>7</v>
      </c>
    </row>
    <row r="13" spans="1:13" customFormat="1"/>
    <row r="14" spans="1:13" customFormat="1">
      <c r="A14" s="24" t="s">
        <v>49</v>
      </c>
      <c r="B14" s="16" t="s">
        <v>50</v>
      </c>
      <c r="C14" s="17"/>
      <c r="D14" s="18"/>
      <c r="E14" s="19"/>
      <c r="F14" s="20"/>
      <c r="G14" s="21"/>
      <c r="H14" s="22"/>
      <c r="I14" s="23"/>
    </row>
    <row r="15" spans="1:13" customFormat="1"/>
    <row r="16" spans="1:13" customFormat="1"/>
    <row r="17" spans="1:9" customFormat="1">
      <c r="A17" s="24" t="s">
        <v>51</v>
      </c>
      <c r="B17" s="16" t="s">
        <v>52</v>
      </c>
      <c r="C17" s="17"/>
      <c r="D17" s="18"/>
      <c r="E17" s="19"/>
      <c r="F17" s="20"/>
      <c r="G17" s="21"/>
      <c r="H17" s="22"/>
      <c r="I17" s="23"/>
    </row>
    <row r="18" spans="1:9" customFormat="1"/>
    <row r="19" spans="1:9" customFormat="1"/>
    <row r="20" spans="1:9" customFormat="1">
      <c r="A20" s="24" t="s">
        <v>125</v>
      </c>
      <c r="B20" s="16" t="s">
        <v>126</v>
      </c>
      <c r="C20" s="17"/>
      <c r="D20" s="18"/>
      <c r="E20" s="19"/>
      <c r="F20" s="20"/>
      <c r="G20" s="21"/>
      <c r="H20" s="22"/>
      <c r="I20" s="23"/>
    </row>
    <row r="21" spans="1:9" customFormat="1">
      <c r="A21" s="34"/>
      <c r="B21" s="35"/>
      <c r="C21" s="36"/>
      <c r="D21" s="37" t="s">
        <v>21</v>
      </c>
      <c r="E21" s="38"/>
      <c r="F21" s="39"/>
      <c r="G21" s="40" t="s">
        <v>24</v>
      </c>
      <c r="H21" s="41"/>
      <c r="I21" s="52"/>
    </row>
    <row r="22" spans="1:9" customFormat="1"/>
    <row r="23" spans="1:9" customFormat="1"/>
    <row r="24" spans="1:9" customFormat="1">
      <c r="A24" s="24" t="s">
        <v>53</v>
      </c>
      <c r="B24" s="16" t="s">
        <v>54</v>
      </c>
      <c r="C24" s="17"/>
      <c r="D24" s="18"/>
      <c r="E24" s="19"/>
      <c r="F24" s="20"/>
      <c r="G24" s="21"/>
      <c r="H24" s="22"/>
      <c r="I24" s="23"/>
    </row>
    <row r="25" spans="1:9" customFormat="1">
      <c r="A25" s="34"/>
      <c r="B25" s="35"/>
      <c r="C25" s="36"/>
      <c r="D25" s="37" t="s">
        <v>21</v>
      </c>
      <c r="E25" s="38"/>
      <c r="F25" s="39"/>
      <c r="G25" s="40" t="s">
        <v>24</v>
      </c>
      <c r="H25" s="41"/>
      <c r="I25" s="52"/>
    </row>
    <row r="26" spans="1:9" customFormat="1"/>
    <row r="27" spans="1:9" customFormat="1"/>
    <row r="28" spans="1:9" customFormat="1">
      <c r="A28" s="24" t="s">
        <v>55</v>
      </c>
      <c r="B28" s="16" t="s">
        <v>56</v>
      </c>
      <c r="C28" s="17"/>
      <c r="D28" s="18"/>
      <c r="E28" s="19"/>
      <c r="F28" s="20"/>
      <c r="G28" s="21"/>
      <c r="H28" s="22"/>
      <c r="I28" s="23"/>
    </row>
    <row r="29" spans="1:9" customFormat="1">
      <c r="A29" s="34"/>
      <c r="B29" s="35"/>
      <c r="C29" s="36"/>
      <c r="D29" s="37" t="s">
        <v>21</v>
      </c>
      <c r="E29" s="38"/>
      <c r="F29" s="39"/>
      <c r="G29" s="40" t="s">
        <v>24</v>
      </c>
      <c r="H29" s="41"/>
      <c r="I29" s="52"/>
    </row>
    <row r="30" spans="1:9" customFormat="1"/>
    <row r="31" spans="1:9" customFormat="1"/>
    <row r="32" spans="1:9" customFormat="1">
      <c r="A32" s="24" t="s">
        <v>127</v>
      </c>
      <c r="B32" s="16" t="s">
        <v>128</v>
      </c>
      <c r="C32" s="17"/>
      <c r="D32" s="18"/>
      <c r="E32" s="19"/>
      <c r="F32" s="20"/>
      <c r="G32" s="21"/>
      <c r="H32" s="22"/>
      <c r="I32" s="23"/>
    </row>
    <row r="33" spans="1:9" customFormat="1">
      <c r="A33" s="34"/>
      <c r="B33" s="35"/>
      <c r="C33" s="36"/>
      <c r="D33" s="37" t="s">
        <v>21</v>
      </c>
      <c r="E33" s="38"/>
      <c r="F33" s="39"/>
      <c r="G33" s="40" t="s">
        <v>24</v>
      </c>
      <c r="H33" s="41"/>
      <c r="I33" s="52"/>
    </row>
    <row r="34" spans="1:9" customFormat="1"/>
    <row r="35" spans="1:9" customFormat="1"/>
    <row r="36" spans="1:9" customFormat="1">
      <c r="A36" s="24" t="s">
        <v>57</v>
      </c>
      <c r="B36" s="16" t="s">
        <v>58</v>
      </c>
      <c r="C36" s="17"/>
      <c r="D36" s="18"/>
      <c r="E36" s="19"/>
      <c r="F36" s="20"/>
      <c r="G36" s="21"/>
      <c r="H36" s="22"/>
      <c r="I36" s="23"/>
    </row>
    <row r="37" spans="1:9" customFormat="1">
      <c r="A37" s="34"/>
      <c r="B37" s="35"/>
      <c r="C37" s="36"/>
      <c r="D37" s="37" t="s">
        <v>21</v>
      </c>
      <c r="E37" s="38"/>
      <c r="F37" s="39"/>
      <c r="G37" s="40" t="s">
        <v>24</v>
      </c>
      <c r="H37" s="41"/>
      <c r="I37" s="52"/>
    </row>
    <row r="38" spans="1:9" customFormat="1"/>
    <row r="39" spans="1:9" customFormat="1"/>
    <row r="40" spans="1:9" customFormat="1">
      <c r="A40" s="24" t="s">
        <v>59</v>
      </c>
      <c r="B40" s="16" t="s">
        <v>60</v>
      </c>
      <c r="C40" s="17"/>
      <c r="D40" s="18"/>
      <c r="E40" s="19"/>
      <c r="F40" s="20"/>
      <c r="G40" s="21"/>
      <c r="H40" s="22"/>
      <c r="I40" s="23"/>
    </row>
    <row r="41" spans="1:9" customFormat="1">
      <c r="A41" s="34"/>
      <c r="B41" s="35"/>
      <c r="C41" s="36"/>
      <c r="D41" s="37" t="s">
        <v>21</v>
      </c>
      <c r="E41" s="38"/>
      <c r="F41" s="39"/>
      <c r="G41" s="40" t="s">
        <v>24</v>
      </c>
      <c r="H41" s="41"/>
      <c r="I41" s="52"/>
    </row>
    <row r="42" spans="1:9" customFormat="1"/>
    <row r="43" spans="1:9" customFormat="1"/>
    <row r="44" spans="1:9" customFormat="1">
      <c r="A44" s="24" t="s">
        <v>61</v>
      </c>
      <c r="B44" s="16" t="s">
        <v>62</v>
      </c>
      <c r="C44" s="17"/>
      <c r="D44" s="18"/>
      <c r="E44" s="19"/>
      <c r="F44" s="20"/>
      <c r="G44" s="21"/>
      <c r="H44" s="22"/>
      <c r="I44" s="23"/>
    </row>
    <row r="45" spans="1:9" customFormat="1">
      <c r="A45" s="34"/>
      <c r="B45" s="35"/>
      <c r="C45" s="36"/>
      <c r="D45" s="37" t="s">
        <v>21</v>
      </c>
      <c r="E45" s="38"/>
      <c r="F45" s="39"/>
      <c r="G45" s="40" t="s">
        <v>24</v>
      </c>
      <c r="H45" s="41"/>
      <c r="I45" s="52"/>
    </row>
    <row r="46" spans="1:9" customFormat="1"/>
    <row r="47" spans="1:9" customFormat="1">
      <c r="A47" s="24" t="s">
        <v>63</v>
      </c>
      <c r="B47" s="16" t="s">
        <v>64</v>
      </c>
      <c r="C47" s="17"/>
      <c r="D47" s="18"/>
      <c r="E47" s="19"/>
      <c r="F47" s="20"/>
      <c r="G47" s="21"/>
      <c r="H47" s="22"/>
      <c r="I47" s="23"/>
    </row>
    <row r="48" spans="1:9" customFormat="1"/>
    <row r="49" spans="1:9" customFormat="1"/>
    <row r="50" spans="1:9" customFormat="1">
      <c r="A50" s="24" t="s">
        <v>65</v>
      </c>
      <c r="B50" s="16" t="s">
        <v>66</v>
      </c>
      <c r="C50" s="17"/>
      <c r="D50" s="18"/>
      <c r="E50" s="19"/>
      <c r="F50" s="20"/>
      <c r="G50" s="21"/>
      <c r="H50" s="22"/>
      <c r="I50" s="23"/>
    </row>
    <row r="51" spans="1:9" customFormat="1">
      <c r="A51" s="34"/>
      <c r="B51" s="35"/>
      <c r="C51" s="36"/>
      <c r="D51" s="37" t="s">
        <v>21</v>
      </c>
      <c r="E51" s="38"/>
      <c r="F51" s="39"/>
      <c r="G51" s="40" t="s">
        <v>24</v>
      </c>
      <c r="H51" s="41"/>
      <c r="I51" s="52"/>
    </row>
    <row r="52" spans="1:9" customFormat="1"/>
    <row r="53" spans="1:9" customFormat="1"/>
    <row r="54" spans="1:9" customFormat="1">
      <c r="A54" s="24" t="s">
        <v>129</v>
      </c>
      <c r="B54" s="16" t="s">
        <v>130</v>
      </c>
      <c r="C54" s="17"/>
      <c r="D54" s="18"/>
      <c r="E54" s="19"/>
      <c r="F54" s="20"/>
      <c r="G54" s="21"/>
      <c r="H54" s="22"/>
      <c r="I54" s="23"/>
    </row>
    <row r="55" spans="1:9" customFormat="1">
      <c r="A55" s="34"/>
      <c r="B55" s="35"/>
      <c r="C55" s="36"/>
      <c r="D55" s="37" t="s">
        <v>21</v>
      </c>
      <c r="E55" s="38"/>
      <c r="F55" s="39"/>
      <c r="G55" s="40" t="s">
        <v>24</v>
      </c>
      <c r="H55" s="41"/>
      <c r="I55" s="52"/>
    </row>
    <row r="56" spans="1:9" customFormat="1"/>
    <row r="57" spans="1:9" customFormat="1"/>
    <row r="58" spans="1:9" customFormat="1">
      <c r="A58" s="24" t="s">
        <v>67</v>
      </c>
      <c r="B58" s="16" t="s">
        <v>68</v>
      </c>
      <c r="C58" s="17"/>
      <c r="D58" s="18"/>
      <c r="E58" s="19"/>
      <c r="F58" s="20"/>
      <c r="G58" s="21"/>
      <c r="H58" s="22"/>
      <c r="I58" s="23"/>
    </row>
    <row r="59" spans="1:9" customFormat="1">
      <c r="A59" s="34"/>
      <c r="B59" s="35"/>
      <c r="C59" s="36"/>
      <c r="D59" s="37" t="s">
        <v>21</v>
      </c>
      <c r="E59" s="38"/>
      <c r="F59" s="39"/>
      <c r="G59" s="40" t="s">
        <v>24</v>
      </c>
      <c r="H59" s="41"/>
      <c r="I59" s="52"/>
    </row>
    <row r="60" spans="1:9" customFormat="1"/>
    <row r="61" spans="1:9" customFormat="1"/>
    <row r="62" spans="1:9" customFormat="1">
      <c r="A62" s="24" t="s">
        <v>69</v>
      </c>
      <c r="B62" s="16" t="s">
        <v>70</v>
      </c>
      <c r="C62" s="17"/>
      <c r="D62" s="18"/>
      <c r="E62" s="19"/>
      <c r="F62" s="20"/>
      <c r="G62" s="21"/>
      <c r="H62" s="22"/>
      <c r="I62" s="23"/>
    </row>
    <row r="63" spans="1:9" customFormat="1">
      <c r="A63" s="34"/>
      <c r="B63" s="35"/>
      <c r="C63" s="36"/>
      <c r="D63" s="37" t="s">
        <v>21</v>
      </c>
      <c r="E63" s="38"/>
      <c r="F63" s="39"/>
      <c r="G63" s="40" t="s">
        <v>24</v>
      </c>
      <c r="H63" s="41"/>
      <c r="I63" s="52"/>
    </row>
    <row r="64" spans="1:9" customFormat="1"/>
    <row r="65" spans="1:9" customFormat="1"/>
    <row r="66" spans="1:9" customFormat="1">
      <c r="A66" s="24" t="s">
        <v>71</v>
      </c>
      <c r="B66" s="16" t="s">
        <v>72</v>
      </c>
      <c r="C66" s="17"/>
      <c r="D66" s="18"/>
      <c r="E66" s="19"/>
      <c r="F66" s="20"/>
      <c r="G66" s="21"/>
      <c r="H66" s="22"/>
      <c r="I66" s="23"/>
    </row>
    <row r="67" spans="1:9" customFormat="1"/>
    <row r="68" spans="1:9" customFormat="1"/>
    <row r="69" spans="1:9" customFormat="1">
      <c r="A69" s="24" t="s">
        <v>73</v>
      </c>
      <c r="B69" s="16" t="s">
        <v>74</v>
      </c>
      <c r="C69" s="17"/>
      <c r="D69" s="18"/>
      <c r="E69" s="19"/>
      <c r="F69" s="20"/>
      <c r="G69" s="21"/>
      <c r="H69" s="22"/>
      <c r="I69" s="23"/>
    </row>
    <row r="70" spans="1:9" customFormat="1">
      <c r="A70" s="34"/>
      <c r="B70" s="35"/>
      <c r="C70" s="36"/>
      <c r="D70" s="37" t="s">
        <v>21</v>
      </c>
      <c r="E70" s="38"/>
      <c r="F70" s="39"/>
      <c r="G70" s="40" t="s">
        <v>24</v>
      </c>
      <c r="H70" s="41"/>
      <c r="I70" s="52"/>
    </row>
    <row r="71" spans="1:9" customFormat="1"/>
    <row r="72" spans="1:9" customFormat="1"/>
    <row r="73" spans="1:9" customFormat="1">
      <c r="A73" s="24" t="s">
        <v>75</v>
      </c>
      <c r="B73" s="16" t="s">
        <v>76</v>
      </c>
      <c r="C73" s="17"/>
      <c r="D73" s="18"/>
      <c r="E73" s="19"/>
      <c r="F73" s="20"/>
      <c r="G73" s="21"/>
      <c r="H73" s="22"/>
      <c r="I73" s="23"/>
    </row>
    <row r="74" spans="1:9" customFormat="1">
      <c r="A74" s="34"/>
      <c r="B74" s="35"/>
      <c r="C74" s="36"/>
      <c r="D74" s="37" t="s">
        <v>21</v>
      </c>
      <c r="E74" s="38"/>
      <c r="F74" s="39"/>
      <c r="G74" s="40" t="s">
        <v>24</v>
      </c>
      <c r="H74" s="41"/>
      <c r="I74" s="52"/>
    </row>
    <row r="75" spans="1:9" customFormat="1"/>
    <row r="76" spans="1:9" customFormat="1"/>
    <row r="77" spans="1:9" customFormat="1">
      <c r="A77" s="24" t="s">
        <v>77</v>
      </c>
      <c r="B77" s="16" t="s">
        <v>78</v>
      </c>
      <c r="C77" s="17"/>
      <c r="D77" s="18"/>
      <c r="E77" s="19"/>
      <c r="F77" s="20"/>
      <c r="G77" s="21"/>
      <c r="H77" s="22"/>
      <c r="I77" s="23"/>
    </row>
    <row r="78" spans="1:9" customFormat="1">
      <c r="A78" s="34"/>
      <c r="B78" s="35"/>
      <c r="C78" s="36"/>
      <c r="D78" s="37" t="s">
        <v>21</v>
      </c>
      <c r="E78" s="38"/>
      <c r="F78" s="39"/>
      <c r="G78" s="40" t="s">
        <v>24</v>
      </c>
      <c r="H78" s="41"/>
      <c r="I78" s="52"/>
    </row>
    <row r="79" spans="1:9" customFormat="1"/>
    <row r="80" spans="1:9" customFormat="1"/>
    <row r="81" spans="1:9" customFormat="1">
      <c r="A81" s="24" t="s">
        <v>79</v>
      </c>
      <c r="B81" s="16" t="s">
        <v>80</v>
      </c>
      <c r="C81" s="17"/>
      <c r="D81" s="18"/>
      <c r="E81" s="19"/>
      <c r="F81" s="20"/>
      <c r="G81" s="21"/>
      <c r="H81" s="22"/>
      <c r="I81" s="23"/>
    </row>
    <row r="82" spans="1:9" customFormat="1">
      <c r="A82" s="34"/>
      <c r="B82" s="35"/>
      <c r="C82" s="36"/>
      <c r="D82" s="37" t="s">
        <v>21</v>
      </c>
      <c r="E82" s="38"/>
      <c r="F82" s="39"/>
      <c r="G82" s="40" t="s">
        <v>186</v>
      </c>
      <c r="H82" s="41"/>
      <c r="I82" s="52"/>
    </row>
    <row r="83" spans="1:9" customFormat="1"/>
    <row r="84" spans="1:9" customFormat="1"/>
    <row r="85" spans="1:9" customFormat="1">
      <c r="A85" s="24" t="s">
        <v>81</v>
      </c>
      <c r="B85" s="16" t="s">
        <v>82</v>
      </c>
      <c r="C85" s="17"/>
      <c r="D85" s="18"/>
      <c r="E85" s="19"/>
      <c r="F85" s="20"/>
      <c r="G85" s="21"/>
      <c r="H85" s="22"/>
      <c r="I85" s="23"/>
    </row>
    <row r="86" spans="1:9" customFormat="1"/>
    <row r="87" spans="1:9" customFormat="1"/>
    <row r="88" spans="1:9" customFormat="1">
      <c r="A88" s="24" t="s">
        <v>83</v>
      </c>
      <c r="B88" s="16" t="s">
        <v>84</v>
      </c>
      <c r="C88" s="17"/>
      <c r="D88" s="18"/>
      <c r="E88" s="19"/>
      <c r="F88" s="20"/>
      <c r="G88" s="21"/>
      <c r="H88" s="22"/>
      <c r="I88" s="23"/>
    </row>
    <row r="89" spans="1:9" customFormat="1"/>
    <row r="90" spans="1:9" customFormat="1"/>
    <row r="91" spans="1:9" customFormat="1">
      <c r="A91" s="24" t="s">
        <v>85</v>
      </c>
      <c r="B91" s="16" t="s">
        <v>86</v>
      </c>
      <c r="C91" s="17"/>
      <c r="D91" s="18"/>
      <c r="E91" s="19"/>
      <c r="F91" s="20"/>
      <c r="G91" s="21"/>
      <c r="H91" s="22"/>
      <c r="I91" s="23"/>
    </row>
    <row r="92" spans="1:9" customFormat="1"/>
    <row r="93" spans="1:9" customFormat="1"/>
    <row r="94" spans="1:9" customFormat="1">
      <c r="A94" s="24" t="s">
        <v>131</v>
      </c>
      <c r="B94" s="16" t="s">
        <v>132</v>
      </c>
      <c r="C94" s="17"/>
      <c r="D94" s="18"/>
      <c r="E94" s="19"/>
      <c r="F94" s="20"/>
      <c r="G94" s="21"/>
      <c r="H94" s="22"/>
      <c r="I94" s="23"/>
    </row>
    <row r="95" spans="1:9" customFormat="1">
      <c r="A95" s="34"/>
      <c r="B95" s="35"/>
      <c r="C95" s="36"/>
      <c r="D95" s="37" t="s">
        <v>21</v>
      </c>
      <c r="E95" s="38"/>
      <c r="F95" s="39"/>
      <c r="G95" s="40" t="s">
        <v>24</v>
      </c>
      <c r="H95" s="41"/>
      <c r="I95" s="52"/>
    </row>
    <row r="96" spans="1:9" customFormat="1"/>
    <row r="97" spans="1:9" customFormat="1"/>
    <row r="98" spans="1:9" customFormat="1">
      <c r="A98" s="24" t="s">
        <v>133</v>
      </c>
      <c r="B98" s="16" t="s">
        <v>134</v>
      </c>
      <c r="C98" s="17"/>
      <c r="D98" s="18"/>
      <c r="E98" s="19"/>
      <c r="F98" s="20"/>
      <c r="G98" s="21"/>
      <c r="H98" s="22"/>
      <c r="I98" s="23"/>
    </row>
    <row r="99" spans="1:9" customFormat="1"/>
    <row r="100" spans="1:9" customFormat="1"/>
    <row r="101" spans="1:9" customFormat="1">
      <c r="A101" s="24" t="s">
        <v>135</v>
      </c>
      <c r="B101" s="16" t="s">
        <v>137</v>
      </c>
      <c r="C101" s="17"/>
      <c r="D101" s="18"/>
      <c r="E101" s="19"/>
      <c r="F101" s="20"/>
      <c r="G101" s="21"/>
      <c r="H101" s="22"/>
      <c r="I101" s="23"/>
    </row>
    <row r="102" spans="1:9" customFormat="1">
      <c r="A102" s="34"/>
      <c r="B102" s="35"/>
      <c r="C102" s="36"/>
      <c r="D102" s="37" t="s">
        <v>21</v>
      </c>
      <c r="E102" s="38"/>
      <c r="F102" s="39"/>
      <c r="G102" s="40" t="s">
        <v>24</v>
      </c>
      <c r="H102" s="41"/>
      <c r="I102" s="52"/>
    </row>
    <row r="103" spans="1:9" customFormat="1"/>
    <row r="104" spans="1:9" customFormat="1"/>
    <row r="105" spans="1:9" customFormat="1">
      <c r="A105" s="24" t="s">
        <v>136</v>
      </c>
      <c r="B105" s="16" t="s">
        <v>138</v>
      </c>
      <c r="C105" s="17"/>
      <c r="D105" s="18"/>
      <c r="E105" s="19"/>
      <c r="F105" s="20"/>
      <c r="G105" s="21"/>
      <c r="H105" s="22"/>
      <c r="I105" s="23"/>
    </row>
    <row r="106" spans="1:9" customFormat="1">
      <c r="A106" s="34"/>
      <c r="B106" s="35"/>
      <c r="C106" s="36"/>
      <c r="D106" s="37" t="s">
        <v>21</v>
      </c>
      <c r="E106" s="38"/>
      <c r="F106" s="39"/>
      <c r="G106" s="40" t="s">
        <v>24</v>
      </c>
      <c r="H106" s="41"/>
      <c r="I106" s="52"/>
    </row>
    <row r="107" spans="1:9" customFormat="1"/>
    <row r="108" spans="1:9" customFormat="1"/>
    <row r="109" spans="1:9" customFormat="1">
      <c r="A109" s="24" t="s">
        <v>87</v>
      </c>
      <c r="B109" s="16" t="s">
        <v>88</v>
      </c>
      <c r="C109" s="17"/>
      <c r="D109" s="18"/>
      <c r="E109" s="19"/>
      <c r="F109" s="20"/>
      <c r="G109" s="21"/>
      <c r="H109" s="22"/>
      <c r="I109" s="23"/>
    </row>
    <row r="110" spans="1:9" customFormat="1"/>
    <row r="111" spans="1:9" customFormat="1"/>
    <row r="112" spans="1:9" customFormat="1">
      <c r="A112" s="24" t="s">
        <v>89</v>
      </c>
      <c r="B112" s="16" t="s">
        <v>90</v>
      </c>
      <c r="C112" s="17"/>
      <c r="D112" s="18"/>
      <c r="E112" s="19"/>
      <c r="F112" s="20"/>
      <c r="G112" s="21"/>
      <c r="H112" s="22"/>
      <c r="I112" s="23"/>
    </row>
    <row r="113" spans="1:9" customFormat="1"/>
    <row r="114" spans="1:9" customFormat="1"/>
    <row r="115" spans="1:9" customFormat="1">
      <c r="A115" s="24" t="s">
        <v>139</v>
      </c>
      <c r="B115" s="16" t="s">
        <v>140</v>
      </c>
      <c r="C115" s="17"/>
      <c r="D115" s="18"/>
      <c r="E115" s="19"/>
      <c r="F115" s="20"/>
      <c r="G115" s="21"/>
      <c r="H115" s="22"/>
      <c r="I115" s="23"/>
    </row>
    <row r="116" spans="1:9" customFormat="1">
      <c r="A116" s="34"/>
      <c r="B116" s="35"/>
      <c r="C116" s="36"/>
      <c r="D116" s="37" t="s">
        <v>21</v>
      </c>
      <c r="E116" s="38"/>
      <c r="F116" s="39"/>
      <c r="G116" s="40" t="s">
        <v>24</v>
      </c>
      <c r="H116" s="41"/>
      <c r="I116" s="52"/>
    </row>
    <row r="117" spans="1:9" customFormat="1"/>
    <row r="118" spans="1:9" customFormat="1"/>
    <row r="119" spans="1:9" customFormat="1">
      <c r="A119" s="24" t="s">
        <v>91</v>
      </c>
      <c r="B119" s="16" t="s">
        <v>92</v>
      </c>
      <c r="C119" s="17"/>
      <c r="D119" s="18"/>
      <c r="E119" s="19"/>
      <c r="F119" s="20"/>
      <c r="G119" s="21"/>
      <c r="H119" s="22"/>
      <c r="I119" s="23"/>
    </row>
    <row r="120" spans="1:9" customFormat="1">
      <c r="A120" s="34"/>
      <c r="B120" s="35"/>
      <c r="C120" s="36"/>
      <c r="D120" s="37" t="s">
        <v>21</v>
      </c>
      <c r="E120" s="38"/>
      <c r="F120" s="39"/>
      <c r="G120" s="40" t="s">
        <v>24</v>
      </c>
      <c r="H120" s="41"/>
      <c r="I120" s="52"/>
    </row>
    <row r="121" spans="1:9" customFormat="1"/>
    <row r="122" spans="1:9" customFormat="1"/>
    <row r="123" spans="1:9" customFormat="1">
      <c r="A123" s="24" t="s">
        <v>141</v>
      </c>
      <c r="B123" s="16" t="s">
        <v>142</v>
      </c>
      <c r="C123" s="17"/>
      <c r="D123" s="18"/>
      <c r="E123" s="19"/>
      <c r="F123" s="20"/>
      <c r="G123" s="21"/>
      <c r="H123" s="22"/>
      <c r="I123" s="23"/>
    </row>
    <row r="124" spans="1:9" customFormat="1"/>
    <row r="125" spans="1:9" customFormat="1"/>
    <row r="126" spans="1:9" customFormat="1">
      <c r="A126" s="24" t="s">
        <v>143</v>
      </c>
      <c r="B126" s="16" t="s">
        <v>144</v>
      </c>
      <c r="C126" s="17"/>
      <c r="D126" s="18"/>
      <c r="E126" s="19"/>
      <c r="F126" s="20"/>
      <c r="G126" s="21"/>
      <c r="H126" s="22"/>
      <c r="I126" s="23"/>
    </row>
    <row r="127" spans="1:9" customFormat="1"/>
    <row r="128" spans="1:9" customFormat="1"/>
    <row r="129" spans="1:9" customFormat="1">
      <c r="A129" s="24" t="s">
        <v>187</v>
      </c>
      <c r="B129" s="16" t="s">
        <v>188</v>
      </c>
      <c r="C129" s="17"/>
      <c r="D129" s="18"/>
      <c r="E129" s="19"/>
      <c r="F129" s="20"/>
      <c r="G129" s="21"/>
      <c r="H129" s="22"/>
      <c r="I129" s="23"/>
    </row>
    <row r="130" spans="1:9" customFormat="1"/>
    <row r="131" spans="1:9" customFormat="1"/>
    <row r="132" spans="1:9" customFormat="1">
      <c r="A132" s="24" t="s">
        <v>145</v>
      </c>
      <c r="B132" s="16" t="s">
        <v>146</v>
      </c>
      <c r="C132" s="17"/>
      <c r="D132" s="18"/>
      <c r="E132" s="19"/>
      <c r="F132" s="20"/>
      <c r="G132" s="21"/>
      <c r="H132" s="22"/>
      <c r="I132" s="23"/>
    </row>
    <row r="133" spans="1:9" customFormat="1"/>
    <row r="134" spans="1:9" customFormat="1"/>
    <row r="135" spans="1:9" customFormat="1">
      <c r="A135" s="24" t="s">
        <v>147</v>
      </c>
      <c r="B135" s="16" t="s">
        <v>148</v>
      </c>
      <c r="C135" s="17"/>
      <c r="D135" s="18"/>
      <c r="E135" s="19"/>
      <c r="F135" s="20"/>
      <c r="G135" s="21"/>
      <c r="H135" s="22"/>
      <c r="I135" s="23"/>
    </row>
    <row r="136" spans="1:9" customFormat="1">
      <c r="A136" s="25"/>
      <c r="B136" s="26" t="s">
        <v>16</v>
      </c>
      <c r="C136" s="27"/>
      <c r="D136" s="28" t="s">
        <v>19</v>
      </c>
      <c r="E136" s="29" t="s">
        <v>20</v>
      </c>
      <c r="F136" s="30"/>
      <c r="G136" s="31" t="s">
        <v>17</v>
      </c>
      <c r="H136" s="32"/>
      <c r="I136" s="33" t="s">
        <v>18</v>
      </c>
    </row>
    <row r="137" spans="1:9" customFormat="1">
      <c r="A137" s="43"/>
      <c r="B137" s="44" t="s">
        <v>219</v>
      </c>
      <c r="C137" s="45"/>
      <c r="D137" s="46"/>
      <c r="E137" s="47"/>
      <c r="F137" s="48"/>
      <c r="G137" s="49"/>
      <c r="H137" s="50"/>
      <c r="I137" s="51">
        <f>ROUND(PRODUCT(ROUND(PRODUCT(D137,E137,F137),2),G137,H137),2)</f>
        <v>0</v>
      </c>
    </row>
    <row r="138" spans="1:9" customFormat="1">
      <c r="A138" s="43"/>
      <c r="B138" s="44"/>
      <c r="C138" s="45" t="s">
        <v>184</v>
      </c>
      <c r="D138" s="136">
        <f>I200+I207+I214+I224+I238+I245+I252</f>
        <v>25.07</v>
      </c>
      <c r="E138" s="47"/>
      <c r="F138" s="48"/>
      <c r="G138" s="49"/>
      <c r="H138" s="50"/>
      <c r="I138" s="51">
        <f t="shared" ref="I138:I139" si="0">ROUND(PRODUCT(ROUND(PRODUCT(D138,E138,F138),2),G138,H138),2)</f>
        <v>25.07</v>
      </c>
    </row>
    <row r="139" spans="1:9" customFormat="1">
      <c r="A139" s="43"/>
      <c r="B139" s="44"/>
      <c r="C139" s="45" t="s">
        <v>185</v>
      </c>
      <c r="D139" s="135">
        <f>I265+I275+I285+I295+I305+I231*2</f>
        <v>22.249999999999996</v>
      </c>
      <c r="E139" s="47"/>
      <c r="F139" s="48"/>
      <c r="G139" s="49"/>
      <c r="H139" s="50"/>
      <c r="I139" s="51">
        <f t="shared" si="0"/>
        <v>22.25</v>
      </c>
    </row>
    <row r="140" spans="1:9" customFormat="1">
      <c r="A140" s="34"/>
      <c r="B140" s="35"/>
      <c r="C140" s="36"/>
      <c r="D140" s="37" t="s">
        <v>21</v>
      </c>
      <c r="E140" s="38"/>
      <c r="F140" s="39"/>
      <c r="G140" s="40" t="s">
        <v>22</v>
      </c>
      <c r="H140" s="41" t="s">
        <v>23</v>
      </c>
      <c r="I140" s="42">
        <f>SUBTOTAL(9,I137:I139)</f>
        <v>47.32</v>
      </c>
    </row>
    <row r="141" spans="1:9" customFormat="1"/>
    <row r="142" spans="1:9" customFormat="1"/>
    <row r="143" spans="1:9" customFormat="1">
      <c r="A143" s="24" t="s">
        <v>189</v>
      </c>
      <c r="B143" s="16" t="s">
        <v>190</v>
      </c>
      <c r="C143" s="17"/>
      <c r="D143" s="18"/>
      <c r="E143" s="19"/>
      <c r="F143" s="20"/>
      <c r="G143" s="21"/>
      <c r="H143" s="22"/>
      <c r="I143" s="23"/>
    </row>
    <row r="144" spans="1:9" customFormat="1"/>
    <row r="145" spans="1:9" customFormat="1"/>
    <row r="146" spans="1:9" customFormat="1">
      <c r="A146" s="24" t="s">
        <v>191</v>
      </c>
      <c r="B146" s="16" t="s">
        <v>192</v>
      </c>
      <c r="C146" s="17"/>
      <c r="D146" s="18"/>
      <c r="E146" s="19"/>
      <c r="F146" s="20"/>
      <c r="G146" s="21"/>
      <c r="H146" s="22"/>
      <c r="I146" s="23"/>
    </row>
    <row r="147" spans="1:9" customFormat="1"/>
    <row r="148" spans="1:9" customFormat="1"/>
    <row r="149" spans="1:9" customFormat="1">
      <c r="A149" s="24" t="s">
        <v>193</v>
      </c>
      <c r="B149" s="16" t="s">
        <v>194</v>
      </c>
      <c r="C149" s="17"/>
      <c r="D149" s="18"/>
      <c r="E149" s="19"/>
      <c r="F149" s="20"/>
      <c r="G149" s="21"/>
      <c r="H149" s="22"/>
      <c r="I149" s="23"/>
    </row>
    <row r="150" spans="1:9" customFormat="1">
      <c r="A150" s="34"/>
      <c r="B150" s="35"/>
      <c r="C150" s="36"/>
      <c r="D150" s="37" t="s">
        <v>21</v>
      </c>
      <c r="E150" s="38"/>
      <c r="F150" s="39"/>
      <c r="G150" s="40" t="s">
        <v>24</v>
      </c>
      <c r="H150" s="41"/>
      <c r="I150" s="52"/>
    </row>
    <row r="151" spans="1:9" customFormat="1"/>
    <row r="152" spans="1:9" customFormat="1"/>
    <row r="153" spans="1:9" customFormat="1">
      <c r="A153" s="24" t="s">
        <v>197</v>
      </c>
      <c r="B153" s="16" t="s">
        <v>195</v>
      </c>
      <c r="C153" s="17"/>
      <c r="D153" s="18"/>
      <c r="E153" s="19"/>
      <c r="F153" s="20"/>
      <c r="G153" s="21"/>
      <c r="H153" s="22"/>
      <c r="I153" s="23"/>
    </row>
    <row r="154" spans="1:9" customFormat="1">
      <c r="A154" s="34"/>
      <c r="B154" s="35"/>
      <c r="C154" s="36"/>
      <c r="D154" s="37" t="s">
        <v>21</v>
      </c>
      <c r="E154" s="38"/>
      <c r="F154" s="39"/>
      <c r="G154" s="40" t="s">
        <v>24</v>
      </c>
      <c r="H154" s="41"/>
      <c r="I154" s="52"/>
    </row>
    <row r="155" spans="1:9" customFormat="1"/>
    <row r="156" spans="1:9" customFormat="1"/>
    <row r="157" spans="1:9" customFormat="1">
      <c r="A157" s="24" t="s">
        <v>196</v>
      </c>
      <c r="B157" s="16" t="s">
        <v>198</v>
      </c>
      <c r="C157" s="17"/>
      <c r="D157" s="18"/>
      <c r="E157" s="19"/>
      <c r="F157" s="20"/>
      <c r="G157" s="21"/>
      <c r="H157" s="22"/>
      <c r="I157" s="23"/>
    </row>
    <row r="158" spans="1:9" customFormat="1">
      <c r="A158" s="34"/>
      <c r="B158" s="35"/>
      <c r="C158" s="36"/>
      <c r="D158" s="37" t="s">
        <v>21</v>
      </c>
      <c r="E158" s="38"/>
      <c r="F158" s="39"/>
      <c r="G158" s="40" t="s">
        <v>24</v>
      </c>
      <c r="H158" s="41"/>
      <c r="I158" s="52"/>
    </row>
    <row r="159" spans="1:9" customFormat="1"/>
    <row r="160" spans="1:9" customFormat="1"/>
    <row r="161" spans="1:9" customFormat="1">
      <c r="A161" s="24" t="s">
        <v>27</v>
      </c>
      <c r="B161" s="16" t="s">
        <v>28</v>
      </c>
      <c r="C161" s="17"/>
      <c r="D161" s="18"/>
      <c r="E161" s="19"/>
      <c r="F161" s="20"/>
      <c r="G161" s="21"/>
      <c r="H161" s="22"/>
      <c r="I161" s="23"/>
    </row>
    <row r="162" spans="1:9" customFormat="1"/>
    <row r="163" spans="1:9" customFormat="1"/>
    <row r="164" spans="1:9" customFormat="1">
      <c r="A164" s="24" t="s">
        <v>149</v>
      </c>
      <c r="B164" s="16" t="s">
        <v>150</v>
      </c>
      <c r="C164" s="17"/>
      <c r="D164" s="18"/>
      <c r="E164" s="19"/>
      <c r="F164" s="20"/>
      <c r="G164" s="21"/>
      <c r="H164" s="22"/>
      <c r="I164" s="23"/>
    </row>
    <row r="165" spans="1:9" customFormat="1"/>
    <row r="166" spans="1:9" customFormat="1"/>
    <row r="167" spans="1:9" customFormat="1">
      <c r="A167" s="24" t="s">
        <v>93</v>
      </c>
      <c r="B167" s="16" t="s">
        <v>94</v>
      </c>
      <c r="C167" s="17"/>
      <c r="D167" s="18"/>
      <c r="E167" s="19"/>
      <c r="F167" s="20"/>
      <c r="G167" s="21"/>
      <c r="H167" s="22"/>
      <c r="I167" s="23"/>
    </row>
    <row r="168" spans="1:9" customFormat="1"/>
    <row r="169" spans="1:9" customFormat="1"/>
    <row r="170" spans="1:9" customFormat="1">
      <c r="A170" s="24" t="s">
        <v>95</v>
      </c>
      <c r="B170" s="16" t="s">
        <v>96</v>
      </c>
      <c r="C170" s="17"/>
      <c r="D170" s="18"/>
      <c r="E170" s="19"/>
      <c r="F170" s="20"/>
      <c r="G170" s="21"/>
      <c r="H170" s="22"/>
      <c r="I170" s="23"/>
    </row>
    <row r="171" spans="1:9" customFormat="1"/>
    <row r="172" spans="1:9" customFormat="1"/>
    <row r="173" spans="1:9" customFormat="1">
      <c r="A173" s="24" t="s">
        <v>199</v>
      </c>
      <c r="B173" s="16" t="s">
        <v>200</v>
      </c>
      <c r="C173" s="17"/>
      <c r="D173" s="18"/>
      <c r="E173" s="19"/>
      <c r="F173" s="20"/>
      <c r="G173" s="21"/>
      <c r="H173" s="22"/>
      <c r="I173" s="23"/>
    </row>
    <row r="174" spans="1:9" customFormat="1">
      <c r="A174" s="34"/>
      <c r="B174" s="35"/>
      <c r="C174" s="36"/>
      <c r="D174" s="37" t="s">
        <v>21</v>
      </c>
      <c r="E174" s="38"/>
      <c r="F174" s="39"/>
      <c r="G174" s="40" t="s">
        <v>24</v>
      </c>
      <c r="H174" s="41"/>
      <c r="I174" s="52"/>
    </row>
    <row r="175" spans="1:9" customFormat="1"/>
    <row r="176" spans="1:9" customFormat="1"/>
    <row r="177" spans="1:9" customFormat="1">
      <c r="A177" s="24" t="s">
        <v>151</v>
      </c>
      <c r="B177" s="16" t="s">
        <v>152</v>
      </c>
      <c r="C177" s="17"/>
      <c r="D177" s="18"/>
      <c r="E177" s="19"/>
      <c r="F177" s="20"/>
      <c r="G177" s="21"/>
      <c r="H177" s="22"/>
      <c r="I177" s="23"/>
    </row>
    <row r="178" spans="1:9" customFormat="1"/>
    <row r="179" spans="1:9" customFormat="1"/>
    <row r="180" spans="1:9" customFormat="1">
      <c r="A180" s="24" t="s">
        <v>153</v>
      </c>
      <c r="B180" s="16" t="s">
        <v>154</v>
      </c>
      <c r="C180" s="17"/>
      <c r="D180" s="18"/>
      <c r="E180" s="19"/>
      <c r="F180" s="20"/>
      <c r="G180" s="21"/>
      <c r="H180" s="22"/>
      <c r="I180" s="23"/>
    </row>
    <row r="181" spans="1:9" customFormat="1">
      <c r="A181" s="34"/>
      <c r="B181" s="35"/>
      <c r="C181" s="36"/>
      <c r="D181" s="37" t="s">
        <v>21</v>
      </c>
      <c r="E181" s="38"/>
      <c r="F181" s="39"/>
      <c r="G181" s="40" t="s">
        <v>24</v>
      </c>
      <c r="H181" s="41"/>
      <c r="I181" s="52"/>
    </row>
    <row r="182" spans="1:9" customFormat="1"/>
    <row r="183" spans="1:9" customFormat="1"/>
    <row r="184" spans="1:9" customFormat="1">
      <c r="A184" s="24" t="s">
        <v>97</v>
      </c>
      <c r="B184" s="16" t="s">
        <v>98</v>
      </c>
      <c r="C184" s="17"/>
      <c r="D184" s="18"/>
      <c r="E184" s="19"/>
      <c r="F184" s="20"/>
      <c r="G184" s="21"/>
      <c r="H184" s="22"/>
      <c r="I184" s="23"/>
    </row>
    <row r="185" spans="1:9" customFormat="1"/>
    <row r="186" spans="1:9" customFormat="1"/>
    <row r="187" spans="1:9" customFormat="1">
      <c r="A187" s="24" t="s">
        <v>155</v>
      </c>
      <c r="B187" s="16" t="s">
        <v>156</v>
      </c>
      <c r="C187" s="17"/>
      <c r="D187" s="18"/>
      <c r="E187" s="19"/>
      <c r="F187" s="20"/>
      <c r="G187" s="21"/>
      <c r="H187" s="22"/>
      <c r="I187" s="23"/>
    </row>
    <row r="188" spans="1:9" customFormat="1"/>
    <row r="189" spans="1:9" customFormat="1"/>
    <row r="190" spans="1:9" customFormat="1">
      <c r="A190" s="24" t="s">
        <v>29</v>
      </c>
      <c r="B190" s="16" t="s">
        <v>157</v>
      </c>
      <c r="C190" s="17"/>
      <c r="D190" s="18"/>
      <c r="E190" s="19"/>
      <c r="F190" s="20"/>
      <c r="G190" s="21"/>
      <c r="H190" s="22"/>
      <c r="I190" s="23"/>
    </row>
    <row r="191" spans="1:9" customFormat="1"/>
    <row r="192" spans="1:9" customFormat="1"/>
    <row r="193" spans="1:9" customFormat="1">
      <c r="A193" s="24" t="s">
        <v>158</v>
      </c>
      <c r="B193" s="16" t="s">
        <v>159</v>
      </c>
      <c r="C193" s="17"/>
      <c r="D193" s="18"/>
      <c r="E193" s="19"/>
      <c r="F193" s="20"/>
      <c r="G193" s="21"/>
      <c r="H193" s="22"/>
      <c r="I193" s="23"/>
    </row>
    <row r="194" spans="1:9" customFormat="1"/>
    <row r="195" spans="1:9" customFormat="1"/>
    <row r="196" spans="1:9" customFormat="1">
      <c r="A196" s="59" t="s">
        <v>160</v>
      </c>
      <c r="B196" s="16" t="s">
        <v>226</v>
      </c>
      <c r="C196" s="17"/>
      <c r="D196" s="18"/>
      <c r="E196" s="19"/>
      <c r="F196" s="20"/>
      <c r="G196" s="21"/>
      <c r="H196" s="22"/>
      <c r="I196" s="23"/>
    </row>
    <row r="197" spans="1:9" customFormat="1">
      <c r="A197" s="25"/>
      <c r="B197" s="26" t="s">
        <v>16</v>
      </c>
      <c r="C197" s="27"/>
      <c r="D197" s="28" t="s">
        <v>19</v>
      </c>
      <c r="E197" s="29" t="s">
        <v>20</v>
      </c>
      <c r="F197" s="30"/>
      <c r="G197" s="31" t="s">
        <v>17</v>
      </c>
      <c r="H197" s="32"/>
      <c r="I197" s="33" t="s">
        <v>18</v>
      </c>
    </row>
    <row r="198" spans="1:9" customFormat="1">
      <c r="A198" s="43"/>
      <c r="B198" s="44" t="s">
        <v>123</v>
      </c>
      <c r="C198" s="45"/>
      <c r="D198" s="46">
        <v>1.3</v>
      </c>
      <c r="E198" s="47">
        <v>1.34</v>
      </c>
      <c r="F198" s="48"/>
      <c r="G198" s="49">
        <v>2</v>
      </c>
      <c r="H198" s="50"/>
      <c r="I198" s="51">
        <f>ROUND(PRODUCT(ROUND(PRODUCT(D198,E198,F198),2),G198,H198),2)</f>
        <v>3.48</v>
      </c>
    </row>
    <row r="199" spans="1:9" customFormat="1">
      <c r="A199" s="43"/>
      <c r="B199" s="44"/>
      <c r="C199" s="45"/>
      <c r="D199" s="54"/>
      <c r="F199" s="48"/>
      <c r="G199" s="49"/>
      <c r="H199" s="50"/>
      <c r="I199" s="51">
        <f>ROUND(PRODUCT(ROUND(PRODUCT(D199,E199,F199),2),G199,H199),2)</f>
        <v>0</v>
      </c>
    </row>
    <row r="200" spans="1:9" customFormat="1">
      <c r="A200" s="34"/>
      <c r="B200" s="35"/>
      <c r="C200" s="36"/>
      <c r="D200" s="37" t="s">
        <v>21</v>
      </c>
      <c r="E200" s="38"/>
      <c r="F200" s="39"/>
      <c r="G200" s="40" t="s">
        <v>22</v>
      </c>
      <c r="H200" s="41" t="s">
        <v>23</v>
      </c>
      <c r="I200" s="42">
        <f>SUBTOTAL(9,I198:I199)</f>
        <v>3.48</v>
      </c>
    </row>
    <row r="201" spans="1:9" customFormat="1"/>
    <row r="202" spans="1:9" customFormat="1"/>
    <row r="203" spans="1:9" customFormat="1">
      <c r="A203" s="59" t="s">
        <v>227</v>
      </c>
      <c r="B203" s="16" t="s">
        <v>228</v>
      </c>
      <c r="C203" s="17"/>
      <c r="D203" s="18"/>
      <c r="E203" s="19"/>
      <c r="F203" s="20"/>
      <c r="G203" s="21"/>
      <c r="H203" s="22"/>
      <c r="I203" s="23"/>
    </row>
    <row r="204" spans="1:9" customFormat="1">
      <c r="A204" s="25"/>
      <c r="B204" s="26" t="s">
        <v>16</v>
      </c>
      <c r="C204" s="27"/>
      <c r="D204" s="28" t="s">
        <v>19</v>
      </c>
      <c r="E204" s="29" t="s">
        <v>20</v>
      </c>
      <c r="F204" s="30"/>
      <c r="G204" s="31" t="s">
        <v>17</v>
      </c>
      <c r="H204" s="32"/>
      <c r="I204" s="33" t="s">
        <v>18</v>
      </c>
    </row>
    <row r="205" spans="1:9" customFormat="1">
      <c r="A205" s="43"/>
      <c r="B205" s="44" t="s">
        <v>123</v>
      </c>
      <c r="C205" s="45"/>
      <c r="D205" s="46">
        <v>1.1100000000000001</v>
      </c>
      <c r="E205" s="47">
        <v>1.34</v>
      </c>
      <c r="F205" s="48"/>
      <c r="G205" s="49">
        <v>1</v>
      </c>
      <c r="H205" s="50"/>
      <c r="I205" s="51">
        <f>ROUND(PRODUCT(ROUND(PRODUCT(D205,E205,F205),2),G205,H205),2)</f>
        <v>1.49</v>
      </c>
    </row>
    <row r="206" spans="1:9" customFormat="1">
      <c r="A206" s="43"/>
      <c r="B206" s="44"/>
      <c r="C206" s="45"/>
      <c r="D206" s="54"/>
      <c r="F206" s="48"/>
      <c r="G206" s="49"/>
      <c r="H206" s="50"/>
      <c r="I206" s="51">
        <f>ROUND(PRODUCT(ROUND(PRODUCT(D206,E206,F206),2),G206,H206),2)</f>
        <v>0</v>
      </c>
    </row>
    <row r="207" spans="1:9" customFormat="1">
      <c r="A207" s="34"/>
      <c r="B207" s="35"/>
      <c r="C207" s="36"/>
      <c r="D207" s="37" t="s">
        <v>21</v>
      </c>
      <c r="E207" s="38"/>
      <c r="F207" s="39"/>
      <c r="G207" s="40" t="s">
        <v>22</v>
      </c>
      <c r="H207" s="41" t="s">
        <v>23</v>
      </c>
      <c r="I207" s="42">
        <f>SUBTOTAL(9,I205:I206)</f>
        <v>1.49</v>
      </c>
    </row>
    <row r="208" spans="1:9" customFormat="1"/>
    <row r="209" spans="1:9" customFormat="1"/>
    <row r="210" spans="1:9" customFormat="1">
      <c r="A210" s="59" t="s">
        <v>229</v>
      </c>
      <c r="B210" s="16" t="s">
        <v>230</v>
      </c>
      <c r="C210" s="17"/>
      <c r="D210" s="18"/>
      <c r="E210" s="19"/>
      <c r="F210" s="20"/>
      <c r="G210" s="21"/>
      <c r="H210" s="22"/>
      <c r="I210" s="23"/>
    </row>
    <row r="211" spans="1:9" customFormat="1">
      <c r="A211" s="25"/>
      <c r="B211" s="26" t="s">
        <v>16</v>
      </c>
      <c r="C211" s="27"/>
      <c r="D211" s="28" t="s">
        <v>19</v>
      </c>
      <c r="E211" s="29" t="s">
        <v>20</v>
      </c>
      <c r="F211" s="30"/>
      <c r="G211" s="31" t="s">
        <v>17</v>
      </c>
      <c r="H211" s="32"/>
      <c r="I211" s="33" t="s">
        <v>18</v>
      </c>
    </row>
    <row r="212" spans="1:9" customFormat="1">
      <c r="A212" s="43"/>
      <c r="B212" s="44" t="s">
        <v>123</v>
      </c>
      <c r="C212" s="45"/>
      <c r="D212" s="46">
        <v>1.48</v>
      </c>
      <c r="E212" s="47">
        <v>1.36</v>
      </c>
      <c r="F212" s="48"/>
      <c r="G212" s="49">
        <v>1</v>
      </c>
      <c r="H212" s="50"/>
      <c r="I212" s="51">
        <f>ROUND(PRODUCT(ROUND(PRODUCT(D212,E212,F212),2),G212,H212),2)</f>
        <v>2.0099999999999998</v>
      </c>
    </row>
    <row r="213" spans="1:9" customFormat="1">
      <c r="A213" s="43"/>
      <c r="B213" s="44"/>
      <c r="C213" s="45"/>
      <c r="D213" s="54"/>
      <c r="F213" s="48"/>
      <c r="G213" s="49"/>
      <c r="H213" s="50"/>
      <c r="I213" s="51">
        <f>ROUND(PRODUCT(ROUND(PRODUCT(D213,E213,F213),2),G213,H213),2)</f>
        <v>0</v>
      </c>
    </row>
    <row r="214" spans="1:9" customFormat="1">
      <c r="A214" s="34"/>
      <c r="B214" s="35"/>
      <c r="C214" s="36"/>
      <c r="D214" s="37" t="s">
        <v>21</v>
      </c>
      <c r="E214" s="38"/>
      <c r="F214" s="39"/>
      <c r="G214" s="40" t="s">
        <v>22</v>
      </c>
      <c r="H214" s="41" t="s">
        <v>23</v>
      </c>
      <c r="I214" s="42">
        <f>SUBTOTAL(9,I212:I213)</f>
        <v>2.0099999999999998</v>
      </c>
    </row>
    <row r="215" spans="1:9" customFormat="1"/>
    <row r="216" spans="1:9" customFormat="1"/>
    <row r="217" spans="1:9" customFormat="1">
      <c r="A217" s="24" t="s">
        <v>161</v>
      </c>
      <c r="B217" s="16" t="s">
        <v>162</v>
      </c>
      <c r="C217" s="17"/>
      <c r="D217" s="18"/>
      <c r="E217" s="19"/>
      <c r="F217" s="20"/>
      <c r="G217" s="21"/>
      <c r="H217" s="22"/>
      <c r="I217" s="23"/>
    </row>
    <row r="218" spans="1:9" customFormat="1"/>
    <row r="219" spans="1:9" customFormat="1"/>
    <row r="220" spans="1:9" customFormat="1">
      <c r="A220" s="24" t="s">
        <v>163</v>
      </c>
      <c r="B220" s="16" t="s">
        <v>232</v>
      </c>
      <c r="C220" s="17"/>
      <c r="D220" s="18"/>
      <c r="E220" s="19"/>
      <c r="F220" s="20"/>
      <c r="G220" s="21"/>
      <c r="H220" s="22"/>
      <c r="I220" s="23"/>
    </row>
    <row r="221" spans="1:9" customFormat="1">
      <c r="A221" s="25"/>
      <c r="B221" s="26" t="s">
        <v>16</v>
      </c>
      <c r="C221" s="27"/>
      <c r="D221" s="28" t="s">
        <v>19</v>
      </c>
      <c r="E221" s="29" t="s">
        <v>20</v>
      </c>
      <c r="F221" s="30"/>
      <c r="G221" s="31" t="s">
        <v>17</v>
      </c>
      <c r="H221" s="32"/>
      <c r="I221" s="33" t="s">
        <v>18</v>
      </c>
    </row>
    <row r="222" spans="1:9" customFormat="1">
      <c r="A222" s="43"/>
      <c r="B222" s="44" t="s">
        <v>231</v>
      </c>
      <c r="C222" s="45"/>
      <c r="D222" s="46">
        <v>1.1100000000000001</v>
      </c>
      <c r="E222" s="47">
        <v>1.34</v>
      </c>
      <c r="F222" s="48"/>
      <c r="G222" s="49"/>
      <c r="H222" s="50"/>
      <c r="I222" s="51">
        <f>ROUND(PRODUCT(ROUND(PRODUCT(D222,E222,F222),2),G222,H222),2)</f>
        <v>1.49</v>
      </c>
    </row>
    <row r="223" spans="1:9" customFormat="1">
      <c r="A223" s="43"/>
      <c r="B223" s="44" t="s">
        <v>117</v>
      </c>
      <c r="C223" s="45"/>
      <c r="D223" s="46"/>
      <c r="E223" s="47"/>
      <c r="F223" s="48"/>
      <c r="G223" s="49"/>
      <c r="H223" s="50"/>
      <c r="I223" s="51"/>
    </row>
    <row r="224" spans="1:9" customFormat="1">
      <c r="A224" s="34"/>
      <c r="B224" s="35"/>
      <c r="C224" s="36"/>
      <c r="D224" s="37" t="s">
        <v>21</v>
      </c>
      <c r="E224" s="38"/>
      <c r="F224" s="39"/>
      <c r="G224" s="40" t="s">
        <v>22</v>
      </c>
      <c r="H224" s="41" t="s">
        <v>23</v>
      </c>
      <c r="I224" s="42">
        <f>SUBTOTAL(9,I222:I223)</f>
        <v>1.49</v>
      </c>
    </row>
    <row r="225" spans="1:9" customFormat="1"/>
    <row r="226" spans="1:9" customFormat="1"/>
    <row r="227" spans="1:9" customFormat="1">
      <c r="A227" s="24" t="s">
        <v>164</v>
      </c>
      <c r="B227" s="16" t="s">
        <v>233</v>
      </c>
      <c r="C227" s="17"/>
      <c r="D227" s="18"/>
      <c r="E227" s="19"/>
      <c r="F227" s="20"/>
      <c r="G227" s="21"/>
      <c r="H227" s="22"/>
      <c r="I227" s="23"/>
    </row>
    <row r="228" spans="1:9" customFormat="1">
      <c r="A228" s="25"/>
      <c r="B228" s="26" t="s">
        <v>16</v>
      </c>
      <c r="C228" s="27"/>
      <c r="D228" s="28" t="s">
        <v>19</v>
      </c>
      <c r="E228" s="29" t="s">
        <v>20</v>
      </c>
      <c r="F228" s="30"/>
      <c r="G228" s="31" t="s">
        <v>17</v>
      </c>
      <c r="H228" s="32"/>
      <c r="I228" s="33" t="s">
        <v>18</v>
      </c>
    </row>
    <row r="229" spans="1:9" customFormat="1">
      <c r="A229" s="43"/>
      <c r="B229" s="55" t="s">
        <v>122</v>
      </c>
      <c r="C229" s="45"/>
      <c r="D229" s="53">
        <v>1</v>
      </c>
      <c r="E229">
        <v>1.34</v>
      </c>
      <c r="F229" s="48"/>
      <c r="G229" s="49"/>
      <c r="H229" s="50"/>
      <c r="I229" s="51">
        <f>ROUND(PRODUCT(ROUND(PRODUCT(D229,E229,F229),2),G229,H229),2)</f>
        <v>1.34</v>
      </c>
    </row>
    <row r="230" spans="1:9" customFormat="1">
      <c r="A230" s="43"/>
      <c r="B230" s="44" t="s">
        <v>117</v>
      </c>
      <c r="C230" s="45"/>
      <c r="D230" s="54"/>
      <c r="F230" s="48"/>
      <c r="G230" s="49"/>
      <c r="H230" s="50"/>
      <c r="I230" s="51">
        <f>ROUND(PRODUCT(ROUND(PRODUCT(D230,E230,F230),2),G230,H230),2)</f>
        <v>0</v>
      </c>
    </row>
    <row r="231" spans="1:9" customFormat="1">
      <c r="A231" s="34"/>
      <c r="B231" s="35"/>
      <c r="C231" s="36"/>
      <c r="D231" s="37" t="s">
        <v>21</v>
      </c>
      <c r="E231" s="38"/>
      <c r="F231" s="39"/>
      <c r="G231" s="40" t="s">
        <v>22</v>
      </c>
      <c r="H231" s="41" t="s">
        <v>23</v>
      </c>
      <c r="I231" s="42">
        <f>SUBTOTAL(9,I229:I230)</f>
        <v>1.34</v>
      </c>
    </row>
    <row r="232" spans="1:9" customFormat="1"/>
    <row r="233" spans="1:9" customFormat="1"/>
    <row r="234" spans="1:9" customFormat="1">
      <c r="A234" s="24" t="s">
        <v>165</v>
      </c>
      <c r="B234" s="16" t="s">
        <v>234</v>
      </c>
      <c r="C234" s="17"/>
      <c r="D234" s="18"/>
      <c r="E234" s="19"/>
      <c r="F234" s="20"/>
      <c r="G234" s="21"/>
      <c r="H234" s="22"/>
      <c r="I234" s="23"/>
    </row>
    <row r="235" spans="1:9" customFormat="1">
      <c r="A235" s="25"/>
      <c r="B235" s="26" t="s">
        <v>16</v>
      </c>
      <c r="C235" s="27"/>
      <c r="D235" s="28" t="s">
        <v>19</v>
      </c>
      <c r="E235" s="29" t="s">
        <v>20</v>
      </c>
      <c r="F235" s="30"/>
      <c r="G235" s="31" t="s">
        <v>17</v>
      </c>
      <c r="H235" s="32"/>
      <c r="I235" s="33" t="s">
        <v>18</v>
      </c>
    </row>
    <row r="236" spans="1:9" customFormat="1">
      <c r="A236" s="43"/>
      <c r="B236" s="55" t="s">
        <v>235</v>
      </c>
      <c r="C236" s="45"/>
      <c r="D236" s="54">
        <v>0.93</v>
      </c>
      <c r="E236">
        <v>0.76</v>
      </c>
      <c r="F236" s="48"/>
      <c r="G236" s="49"/>
      <c r="H236" s="56"/>
      <c r="I236" s="57">
        <f t="shared" ref="I236:I237" si="1">ROUND(PRODUCT(ROUND(PRODUCT(D236,E236,F236),2),G236,H236),2)</f>
        <v>0.71</v>
      </c>
    </row>
    <row r="237" spans="1:9" customFormat="1">
      <c r="A237" s="43"/>
      <c r="B237" s="44" t="s">
        <v>117</v>
      </c>
      <c r="C237" s="45"/>
      <c r="D237" s="54"/>
      <c r="F237" s="48"/>
      <c r="G237" s="49"/>
      <c r="H237" s="50"/>
      <c r="I237" s="51">
        <f t="shared" si="1"/>
        <v>0</v>
      </c>
    </row>
    <row r="238" spans="1:9" customFormat="1">
      <c r="A238" s="34"/>
      <c r="B238" s="35"/>
      <c r="C238" s="36"/>
      <c r="D238" s="37" t="s">
        <v>21</v>
      </c>
      <c r="E238" s="38"/>
      <c r="F238" s="39"/>
      <c r="G238" s="40" t="s">
        <v>22</v>
      </c>
      <c r="H238" s="41" t="s">
        <v>23</v>
      </c>
      <c r="I238" s="42">
        <f>SUBTOTAL(9,I236:I237)</f>
        <v>0.71</v>
      </c>
    </row>
    <row r="239" spans="1:9" customFormat="1"/>
    <row r="240" spans="1:9" customFormat="1"/>
    <row r="241" spans="1:9" customFormat="1">
      <c r="A241" s="24" t="s">
        <v>166</v>
      </c>
      <c r="B241" s="16" t="s">
        <v>236</v>
      </c>
      <c r="C241" s="17"/>
      <c r="D241" s="18"/>
      <c r="E241" s="19"/>
      <c r="F241" s="20"/>
      <c r="G241" s="21"/>
      <c r="H241" s="22"/>
      <c r="I241" s="23"/>
    </row>
    <row r="242" spans="1:9" customFormat="1">
      <c r="A242" s="25"/>
      <c r="B242" s="26" t="s">
        <v>16</v>
      </c>
      <c r="C242" s="27"/>
      <c r="D242" s="28" t="s">
        <v>19</v>
      </c>
      <c r="E242" s="29" t="s">
        <v>20</v>
      </c>
      <c r="F242" s="30"/>
      <c r="G242" s="31" t="s">
        <v>17</v>
      </c>
      <c r="H242" s="32"/>
      <c r="I242" s="33" t="s">
        <v>18</v>
      </c>
    </row>
    <row r="243" spans="1:9" customFormat="1">
      <c r="A243" s="43"/>
      <c r="B243" s="55" t="s">
        <v>235</v>
      </c>
      <c r="C243" s="45"/>
      <c r="D243" s="54">
        <v>1.56</v>
      </c>
      <c r="E243">
        <v>0.76</v>
      </c>
      <c r="F243" s="48"/>
      <c r="G243" s="49"/>
      <c r="H243" s="56"/>
      <c r="I243" s="57">
        <f t="shared" ref="I243:I244" si="2">ROUND(PRODUCT(ROUND(PRODUCT(D243,E243,F243),2),G243,H243),2)</f>
        <v>1.19</v>
      </c>
    </row>
    <row r="244" spans="1:9" customFormat="1">
      <c r="A244" s="43"/>
      <c r="B244" s="44" t="s">
        <v>117</v>
      </c>
      <c r="C244" s="45"/>
      <c r="D244" s="54"/>
      <c r="F244" s="48"/>
      <c r="G244" s="49"/>
      <c r="H244" s="50"/>
      <c r="I244" s="51">
        <f t="shared" si="2"/>
        <v>0</v>
      </c>
    </row>
    <row r="245" spans="1:9" customFormat="1">
      <c r="A245" s="34"/>
      <c r="B245" s="35"/>
      <c r="C245" s="36"/>
      <c r="D245" s="37" t="s">
        <v>21</v>
      </c>
      <c r="E245" s="38"/>
      <c r="F245" s="39"/>
      <c r="G245" s="40" t="s">
        <v>22</v>
      </c>
      <c r="H245" s="41" t="s">
        <v>23</v>
      </c>
      <c r="I245" s="42">
        <f>SUBTOTAL(9,I243:I244)</f>
        <v>1.19</v>
      </c>
    </row>
    <row r="246" spans="1:9" customFormat="1"/>
    <row r="247" spans="1:9" customFormat="1"/>
    <row r="248" spans="1:9" customFormat="1">
      <c r="A248" s="24" t="s">
        <v>167</v>
      </c>
      <c r="B248" s="16" t="s">
        <v>237</v>
      </c>
      <c r="C248" s="17"/>
      <c r="D248" s="18"/>
      <c r="E248" s="19"/>
      <c r="F248" s="20"/>
      <c r="G248" s="21"/>
      <c r="H248" s="22"/>
      <c r="I248" s="23"/>
    </row>
    <row r="249" spans="1:9" customFormat="1">
      <c r="A249" s="25"/>
      <c r="B249" s="26" t="s">
        <v>16</v>
      </c>
      <c r="C249" s="27"/>
      <c r="D249" s="28" t="s">
        <v>19</v>
      </c>
      <c r="E249" s="29" t="s">
        <v>20</v>
      </c>
      <c r="F249" s="30"/>
      <c r="G249" s="31" t="s">
        <v>17</v>
      </c>
      <c r="H249" s="32"/>
      <c r="I249" s="33" t="s">
        <v>18</v>
      </c>
    </row>
    <row r="250" spans="1:9" customFormat="1">
      <c r="A250" s="43"/>
      <c r="B250" s="55" t="s">
        <v>238</v>
      </c>
      <c r="C250" s="45"/>
      <c r="D250" s="53">
        <v>1.02</v>
      </c>
      <c r="E250">
        <v>2.4</v>
      </c>
      <c r="F250" s="48"/>
      <c r="G250" s="49">
        <v>6</v>
      </c>
      <c r="H250" s="50"/>
      <c r="I250" s="51">
        <f>ROUND(PRODUCT(ROUND(PRODUCT(D250,E250,F250),2),G250,H250),2)</f>
        <v>14.7</v>
      </c>
    </row>
    <row r="251" spans="1:9" customFormat="1">
      <c r="A251" s="43"/>
      <c r="B251" s="44" t="s">
        <v>117</v>
      </c>
      <c r="C251" s="45"/>
      <c r="D251" s="54"/>
      <c r="F251" s="48"/>
      <c r="G251" s="49"/>
      <c r="H251" s="50"/>
      <c r="I251" s="51">
        <f>ROUND(PRODUCT(ROUND(PRODUCT(D251,E251,F251),2),G251,H251),2)</f>
        <v>0</v>
      </c>
    </row>
    <row r="252" spans="1:9" customFormat="1">
      <c r="A252" s="34"/>
      <c r="B252" s="35"/>
      <c r="C252" s="36"/>
      <c r="D252" s="37" t="s">
        <v>21</v>
      </c>
      <c r="E252" s="38"/>
      <c r="F252" s="39"/>
      <c r="G252" s="40" t="s">
        <v>22</v>
      </c>
      <c r="H252" s="41" t="s">
        <v>23</v>
      </c>
      <c r="I252" s="42">
        <f>SUBTOTAL(9,I250:I251)</f>
        <v>14.7</v>
      </c>
    </row>
    <row r="253" spans="1:9" customFormat="1"/>
    <row r="254" spans="1:9" customFormat="1"/>
    <row r="255" spans="1:9" customFormat="1">
      <c r="A255" s="24" t="s">
        <v>168</v>
      </c>
      <c r="B255" s="16" t="s">
        <v>169</v>
      </c>
      <c r="C255" s="17"/>
      <c r="D255" s="18"/>
      <c r="E255" s="19"/>
      <c r="F255" s="20"/>
      <c r="G255" s="21"/>
      <c r="H255" s="22"/>
      <c r="I255" s="23"/>
    </row>
    <row r="256" spans="1:9" customFormat="1"/>
    <row r="257" spans="1:9" customFormat="1"/>
    <row r="258" spans="1:9" customFormat="1">
      <c r="A258" s="24" t="s">
        <v>170</v>
      </c>
      <c r="B258" s="16" t="s">
        <v>239</v>
      </c>
      <c r="C258" s="17"/>
      <c r="D258" s="18"/>
      <c r="E258" s="19"/>
      <c r="F258" s="20"/>
      <c r="G258" s="21"/>
      <c r="H258" s="22"/>
      <c r="I258" s="23"/>
    </row>
    <row r="259" spans="1:9" customFormat="1">
      <c r="A259" s="25"/>
      <c r="B259" s="26" t="s">
        <v>16</v>
      </c>
      <c r="C259" s="27"/>
      <c r="D259" s="28" t="s">
        <v>19</v>
      </c>
      <c r="E259" s="29" t="s">
        <v>20</v>
      </c>
      <c r="F259" s="30"/>
      <c r="G259" s="31" t="s">
        <v>17</v>
      </c>
      <c r="H259" s="32"/>
      <c r="I259" s="33" t="s">
        <v>18</v>
      </c>
    </row>
    <row r="260" spans="1:9" customFormat="1">
      <c r="A260" s="43"/>
      <c r="B260" s="44" t="s">
        <v>240</v>
      </c>
      <c r="C260" s="45"/>
      <c r="D260" s="46">
        <f>2.41/2</f>
        <v>1.2050000000000001</v>
      </c>
      <c r="E260" s="47">
        <v>2.5499999999999998</v>
      </c>
      <c r="F260" s="48"/>
      <c r="G260" s="49">
        <v>2</v>
      </c>
      <c r="H260" s="50"/>
      <c r="I260" s="51">
        <f>ROUND(PRODUCT(ROUND(PRODUCT(D260,E260,F260),2),G260,H260),2)</f>
        <v>6.14</v>
      </c>
    </row>
    <row r="261" spans="1:9" customFormat="1">
      <c r="A261" s="43"/>
      <c r="B261" s="44" t="s">
        <v>242</v>
      </c>
      <c r="C261" s="45"/>
      <c r="D261" s="46"/>
      <c r="E261" s="47"/>
      <c r="F261" s="48"/>
      <c r="G261" s="49"/>
      <c r="H261" s="50"/>
      <c r="I261" s="51">
        <f>ROUND(PRODUCT(ROUND(PRODUCT(D261,E261,F261),2),G261,H261),2)</f>
        <v>0</v>
      </c>
    </row>
    <row r="262" spans="1:9" customFormat="1">
      <c r="A262" s="43"/>
      <c r="B262" s="44" t="s">
        <v>241</v>
      </c>
      <c r="C262" s="45"/>
      <c r="D262" s="46"/>
      <c r="E262" s="47"/>
      <c r="F262" s="48"/>
      <c r="G262" s="49"/>
      <c r="H262" s="50"/>
      <c r="I262" s="51"/>
    </row>
    <row r="263" spans="1:9" customFormat="1">
      <c r="A263" s="43"/>
      <c r="B263" s="44" t="s">
        <v>116</v>
      </c>
      <c r="C263" s="45"/>
      <c r="D263" s="46"/>
      <c r="E263" s="47"/>
      <c r="F263" s="48"/>
      <c r="G263" s="49"/>
      <c r="H263" s="50"/>
      <c r="I263" s="51"/>
    </row>
    <row r="264" spans="1:9" customFormat="1">
      <c r="A264" s="43"/>
      <c r="B264" s="44" t="s">
        <v>243</v>
      </c>
      <c r="C264" s="45"/>
      <c r="D264" s="46"/>
      <c r="E264" s="47"/>
      <c r="F264" s="48"/>
      <c r="G264" s="49"/>
      <c r="H264" s="50"/>
      <c r="I264" s="51">
        <f>ROUND(PRODUCT(ROUND(PRODUCT(D264,E264,F264),2),G264,H264),2)</f>
        <v>0</v>
      </c>
    </row>
    <row r="265" spans="1:9" customFormat="1">
      <c r="A265" s="34"/>
      <c r="B265" s="35"/>
      <c r="C265" s="36"/>
      <c r="D265" s="37" t="s">
        <v>21</v>
      </c>
      <c r="E265" s="38"/>
      <c r="F265" s="39"/>
      <c r="G265" s="40" t="s">
        <v>22</v>
      </c>
      <c r="H265" s="41" t="s">
        <v>23</v>
      </c>
      <c r="I265" s="42">
        <f>SUBTOTAL(9,I260:I264)</f>
        <v>6.14</v>
      </c>
    </row>
    <row r="266" spans="1:9" customFormat="1"/>
    <row r="267" spans="1:9" customFormat="1"/>
    <row r="268" spans="1:9" customFormat="1">
      <c r="A268" s="24" t="s">
        <v>244</v>
      </c>
      <c r="B268" s="16" t="s">
        <v>245</v>
      </c>
      <c r="C268" s="17"/>
      <c r="D268" s="18"/>
      <c r="E268" s="19"/>
      <c r="F268" s="20"/>
      <c r="G268" s="21"/>
      <c r="H268" s="22"/>
      <c r="I268" s="23"/>
    </row>
    <row r="269" spans="1:9" customFormat="1">
      <c r="A269" s="25"/>
      <c r="B269" s="26" t="s">
        <v>16</v>
      </c>
      <c r="C269" s="27"/>
      <c r="D269" s="28" t="s">
        <v>19</v>
      </c>
      <c r="E269" s="29" t="s">
        <v>20</v>
      </c>
      <c r="F269" s="30"/>
      <c r="G269" s="31" t="s">
        <v>17</v>
      </c>
      <c r="H269" s="32"/>
      <c r="I269" s="33" t="s">
        <v>18</v>
      </c>
    </row>
    <row r="270" spans="1:9" customFormat="1">
      <c r="A270" s="43"/>
      <c r="B270" s="44" t="s">
        <v>240</v>
      </c>
      <c r="C270" s="45"/>
      <c r="D270" s="46">
        <f>2.25/2</f>
        <v>1.125</v>
      </c>
      <c r="E270" s="47">
        <v>2.39</v>
      </c>
      <c r="F270" s="48"/>
      <c r="G270" s="49">
        <v>2</v>
      </c>
      <c r="H270" s="50"/>
      <c r="I270" s="51">
        <f>ROUND(PRODUCT(ROUND(PRODUCT(D270,E270,F270),2),G270,H270),2)</f>
        <v>5.38</v>
      </c>
    </row>
    <row r="271" spans="1:9" customFormat="1">
      <c r="A271" s="43"/>
      <c r="B271" s="44" t="s">
        <v>242</v>
      </c>
      <c r="C271" s="45"/>
      <c r="D271" s="46"/>
      <c r="E271" s="47"/>
      <c r="F271" s="48"/>
      <c r="G271" s="49"/>
      <c r="H271" s="50"/>
      <c r="I271" s="51">
        <f>ROUND(PRODUCT(ROUND(PRODUCT(D271,E271,F271),2),G271,H271),2)</f>
        <v>0</v>
      </c>
    </row>
    <row r="272" spans="1:9" customFormat="1">
      <c r="A272" s="43"/>
      <c r="B272" s="44" t="s">
        <v>241</v>
      </c>
      <c r="C272" s="45"/>
      <c r="D272" s="46"/>
      <c r="E272" s="47"/>
      <c r="F272" s="48"/>
      <c r="G272" s="49"/>
      <c r="H272" s="50"/>
      <c r="I272" s="51"/>
    </row>
    <row r="273" spans="1:9" customFormat="1">
      <c r="A273" s="43"/>
      <c r="B273" s="44" t="s">
        <v>116</v>
      </c>
      <c r="C273" s="45"/>
      <c r="D273" s="46"/>
      <c r="E273" s="47"/>
      <c r="F273" s="48"/>
      <c r="G273" s="49"/>
      <c r="H273" s="50"/>
      <c r="I273" s="51"/>
    </row>
    <row r="274" spans="1:9" customFormat="1">
      <c r="A274" s="43"/>
      <c r="B274" s="44" t="s">
        <v>243</v>
      </c>
      <c r="C274" s="45"/>
      <c r="D274" s="46"/>
      <c r="E274" s="47"/>
      <c r="F274" s="48"/>
      <c r="G274" s="49"/>
      <c r="H274" s="50"/>
      <c r="I274" s="51">
        <f>ROUND(PRODUCT(ROUND(PRODUCT(D274,E274,F274),2),G274,H274),2)</f>
        <v>0</v>
      </c>
    </row>
    <row r="275" spans="1:9" customFormat="1">
      <c r="A275" s="34"/>
      <c r="B275" s="35"/>
      <c r="C275" s="36"/>
      <c r="D275" s="37" t="s">
        <v>21</v>
      </c>
      <c r="E275" s="38"/>
      <c r="F275" s="39"/>
      <c r="G275" s="40" t="s">
        <v>22</v>
      </c>
      <c r="H275" s="41" t="s">
        <v>23</v>
      </c>
      <c r="I275" s="42">
        <f>SUBTOTAL(9,I270:I274)</f>
        <v>5.38</v>
      </c>
    </row>
    <row r="276" spans="1:9" customFormat="1"/>
    <row r="277" spans="1:9" customFormat="1"/>
    <row r="278" spans="1:9" customFormat="1">
      <c r="A278" s="24" t="s">
        <v>246</v>
      </c>
      <c r="B278" s="16" t="s">
        <v>248</v>
      </c>
      <c r="C278" s="17"/>
      <c r="D278" s="18"/>
      <c r="E278" s="19"/>
      <c r="F278" s="20"/>
      <c r="G278" s="21"/>
      <c r="H278" s="22"/>
      <c r="I278" s="23"/>
    </row>
    <row r="279" spans="1:9" customFormat="1">
      <c r="A279" s="25"/>
      <c r="B279" s="26" t="s">
        <v>16</v>
      </c>
      <c r="C279" s="27"/>
      <c r="D279" s="28" t="s">
        <v>19</v>
      </c>
      <c r="E279" s="29" t="s">
        <v>20</v>
      </c>
      <c r="F279" s="30"/>
      <c r="G279" s="31" t="s">
        <v>17</v>
      </c>
      <c r="H279" s="32"/>
      <c r="I279" s="33" t="s">
        <v>18</v>
      </c>
    </row>
    <row r="280" spans="1:9" customFormat="1">
      <c r="A280" s="43"/>
      <c r="B280" s="44" t="s">
        <v>240</v>
      </c>
      <c r="C280" s="45"/>
      <c r="D280" s="46">
        <v>1.02</v>
      </c>
      <c r="E280" s="47">
        <v>2</v>
      </c>
      <c r="F280" s="48"/>
      <c r="G280" s="49">
        <v>2</v>
      </c>
      <c r="H280" s="50"/>
      <c r="I280" s="51">
        <f>ROUND(PRODUCT(ROUND(PRODUCT(D280,E280,F280),2),G280,H280),2)</f>
        <v>4.08</v>
      </c>
    </row>
    <row r="281" spans="1:9" customFormat="1">
      <c r="A281" s="43"/>
      <c r="B281" s="44" t="s">
        <v>242</v>
      </c>
      <c r="C281" s="45"/>
      <c r="D281" s="46"/>
      <c r="E281" s="47"/>
      <c r="F281" s="48"/>
      <c r="G281" s="49"/>
      <c r="H281" s="50"/>
      <c r="I281" s="51">
        <f>ROUND(PRODUCT(ROUND(PRODUCT(D281,E281,F281),2),G281,H281),2)</f>
        <v>0</v>
      </c>
    </row>
    <row r="282" spans="1:9" customFormat="1">
      <c r="A282" s="43"/>
      <c r="B282" s="44" t="s">
        <v>241</v>
      </c>
      <c r="C282" s="45"/>
      <c r="D282" s="46"/>
      <c r="E282" s="47"/>
      <c r="F282" s="48"/>
      <c r="G282" s="49"/>
      <c r="H282" s="50"/>
      <c r="I282" s="51"/>
    </row>
    <row r="283" spans="1:9" customFormat="1">
      <c r="A283" s="43"/>
      <c r="B283" s="44" t="s">
        <v>116</v>
      </c>
      <c r="C283" s="45"/>
      <c r="D283" s="46"/>
      <c r="E283" s="47"/>
      <c r="F283" s="48"/>
      <c r="G283" s="49"/>
      <c r="H283" s="50"/>
      <c r="I283" s="51"/>
    </row>
    <row r="284" spans="1:9" customFormat="1">
      <c r="A284" s="43"/>
      <c r="B284" s="44" t="s">
        <v>254</v>
      </c>
      <c r="C284" s="45"/>
      <c r="D284" s="46"/>
      <c r="E284" s="47"/>
      <c r="F284" s="48"/>
      <c r="G284" s="49"/>
      <c r="H284" s="50"/>
      <c r="I284" s="51">
        <f>ROUND(PRODUCT(ROUND(PRODUCT(D284,E284,F284),2),G284,H284),2)</f>
        <v>0</v>
      </c>
    </row>
    <row r="285" spans="1:9" customFormat="1">
      <c r="A285" s="34"/>
      <c r="B285" s="35"/>
      <c r="C285" s="36"/>
      <c r="D285" s="37" t="s">
        <v>21</v>
      </c>
      <c r="E285" s="38"/>
      <c r="F285" s="39"/>
      <c r="G285" s="40" t="s">
        <v>22</v>
      </c>
      <c r="H285" s="41" t="s">
        <v>23</v>
      </c>
      <c r="I285" s="42">
        <f>SUBTOTAL(9,I280:I284)</f>
        <v>4.08</v>
      </c>
    </row>
    <row r="286" spans="1:9" customFormat="1"/>
    <row r="287" spans="1:9" customFormat="1"/>
    <row r="288" spans="1:9" customFormat="1">
      <c r="A288" s="24" t="s">
        <v>247</v>
      </c>
      <c r="B288" s="16" t="s">
        <v>249</v>
      </c>
      <c r="C288" s="17"/>
      <c r="D288" s="18"/>
      <c r="E288" s="19"/>
      <c r="F288" s="20"/>
      <c r="G288" s="21"/>
      <c r="H288" s="22"/>
      <c r="I288" s="23"/>
    </row>
    <row r="289" spans="1:9" customFormat="1">
      <c r="A289" s="25"/>
      <c r="B289" s="26" t="s">
        <v>16</v>
      </c>
      <c r="C289" s="27"/>
      <c r="D289" s="28" t="s">
        <v>19</v>
      </c>
      <c r="E289" s="29" t="s">
        <v>20</v>
      </c>
      <c r="F289" s="30"/>
      <c r="G289" s="31" t="s">
        <v>17</v>
      </c>
      <c r="H289" s="32"/>
      <c r="I289" s="33" t="s">
        <v>18</v>
      </c>
    </row>
    <row r="290" spans="1:9" customFormat="1">
      <c r="A290" s="43"/>
      <c r="B290" s="44" t="s">
        <v>240</v>
      </c>
      <c r="C290" s="45"/>
      <c r="D290" s="46">
        <v>1.02</v>
      </c>
      <c r="E290" s="47">
        <v>2.19</v>
      </c>
      <c r="F290" s="48"/>
      <c r="G290" s="49">
        <v>1</v>
      </c>
      <c r="H290" s="50"/>
      <c r="I290" s="51">
        <f>ROUND(PRODUCT(ROUND(PRODUCT(D290,E290,F290),2),G290,H290),2)</f>
        <v>2.23</v>
      </c>
    </row>
    <row r="291" spans="1:9" customFormat="1">
      <c r="A291" s="43"/>
      <c r="B291" s="44" t="s">
        <v>242</v>
      </c>
      <c r="C291" s="45"/>
      <c r="D291" s="46"/>
      <c r="E291" s="47"/>
      <c r="F291" s="48"/>
      <c r="G291" s="49"/>
      <c r="H291" s="50"/>
      <c r="I291" s="51">
        <f>ROUND(PRODUCT(ROUND(PRODUCT(D291,E291,F291),2),G291,H291),2)</f>
        <v>0</v>
      </c>
    </row>
    <row r="292" spans="1:9" customFormat="1">
      <c r="A292" s="43"/>
      <c r="B292" s="44" t="s">
        <v>241</v>
      </c>
      <c r="C292" s="45"/>
      <c r="D292" s="46"/>
      <c r="E292" s="47"/>
      <c r="F292" s="48"/>
      <c r="G292" s="49"/>
      <c r="H292" s="50"/>
      <c r="I292" s="51"/>
    </row>
    <row r="293" spans="1:9" customFormat="1">
      <c r="A293" s="43"/>
      <c r="B293" s="44" t="s">
        <v>116</v>
      </c>
      <c r="C293" s="45"/>
      <c r="D293" s="46"/>
      <c r="E293" s="47"/>
      <c r="F293" s="48"/>
      <c r="G293" s="49"/>
      <c r="H293" s="50"/>
      <c r="I293" s="51"/>
    </row>
    <row r="294" spans="1:9" customFormat="1">
      <c r="A294" s="43"/>
      <c r="B294" s="44" t="s">
        <v>254</v>
      </c>
      <c r="C294" s="45"/>
      <c r="D294" s="46"/>
      <c r="E294" s="47"/>
      <c r="F294" s="48"/>
      <c r="G294" s="49"/>
      <c r="H294" s="50"/>
      <c r="I294" s="51">
        <f>ROUND(PRODUCT(ROUND(PRODUCT(D294,E294,F294),2),G294,H294),2)</f>
        <v>0</v>
      </c>
    </row>
    <row r="295" spans="1:9" customFormat="1">
      <c r="A295" s="34"/>
      <c r="B295" s="35"/>
      <c r="C295" s="36"/>
      <c r="D295" s="37" t="s">
        <v>21</v>
      </c>
      <c r="E295" s="38"/>
      <c r="F295" s="39"/>
      <c r="G295" s="40" t="s">
        <v>22</v>
      </c>
      <c r="H295" s="41" t="s">
        <v>23</v>
      </c>
      <c r="I295" s="42">
        <f>SUBTOTAL(9,I290:I294)</f>
        <v>2.23</v>
      </c>
    </row>
    <row r="296" spans="1:9" customFormat="1"/>
    <row r="297" spans="1:9" customFormat="1"/>
    <row r="298" spans="1:9" customFormat="1">
      <c r="A298" s="24" t="s">
        <v>250</v>
      </c>
      <c r="B298" s="16" t="s">
        <v>251</v>
      </c>
      <c r="C298" s="17"/>
      <c r="D298" s="18"/>
      <c r="E298" s="19"/>
      <c r="F298" s="20"/>
      <c r="G298" s="21"/>
      <c r="H298" s="22"/>
      <c r="I298" s="23"/>
    </row>
    <row r="299" spans="1:9" customFormat="1">
      <c r="A299" s="25"/>
      <c r="B299" s="26" t="s">
        <v>16</v>
      </c>
      <c r="C299" s="27"/>
      <c r="D299" s="28" t="s">
        <v>19</v>
      </c>
      <c r="E299" s="29" t="s">
        <v>20</v>
      </c>
      <c r="F299" s="30"/>
      <c r="G299" s="31" t="s">
        <v>17</v>
      </c>
      <c r="H299" s="32"/>
      <c r="I299" s="33" t="s">
        <v>18</v>
      </c>
    </row>
    <row r="300" spans="1:9" customFormat="1">
      <c r="A300" s="43"/>
      <c r="B300" s="44" t="s">
        <v>240</v>
      </c>
      <c r="C300" s="45"/>
      <c r="D300" s="46">
        <v>0.87</v>
      </c>
      <c r="E300" s="47">
        <v>2</v>
      </c>
      <c r="F300" s="48"/>
      <c r="G300" s="49">
        <v>1</v>
      </c>
      <c r="H300" s="50"/>
      <c r="I300" s="51">
        <f>ROUND(PRODUCT(ROUND(PRODUCT(D300,E300,F300),2),G300,H300),2)</f>
        <v>1.74</v>
      </c>
    </row>
    <row r="301" spans="1:9" customFormat="1">
      <c r="A301" s="43"/>
      <c r="B301" s="44" t="s">
        <v>242</v>
      </c>
      <c r="C301" s="45"/>
      <c r="D301" s="46"/>
      <c r="E301" s="47"/>
      <c r="F301" s="48"/>
      <c r="G301" s="49"/>
      <c r="H301" s="50"/>
      <c r="I301" s="51">
        <f>ROUND(PRODUCT(ROUND(PRODUCT(D301,E301,F301),2),G301,H301),2)</f>
        <v>0</v>
      </c>
    </row>
    <row r="302" spans="1:9" customFormat="1">
      <c r="A302" s="43"/>
      <c r="B302" s="44" t="s">
        <v>241</v>
      </c>
      <c r="C302" s="45"/>
      <c r="D302" s="46"/>
      <c r="E302" s="47"/>
      <c r="F302" s="48"/>
      <c r="G302" s="49"/>
      <c r="H302" s="50"/>
      <c r="I302" s="51"/>
    </row>
    <row r="303" spans="1:9" customFormat="1">
      <c r="A303" s="43"/>
      <c r="B303" s="44" t="s">
        <v>116</v>
      </c>
      <c r="C303" s="45"/>
      <c r="D303" s="46"/>
      <c r="E303" s="47"/>
      <c r="F303" s="48"/>
      <c r="G303" s="49"/>
      <c r="H303" s="50"/>
      <c r="I303" s="51"/>
    </row>
    <row r="304" spans="1:9" customFormat="1">
      <c r="A304" s="43"/>
      <c r="B304" s="44"/>
      <c r="C304" s="45"/>
      <c r="D304" s="46"/>
      <c r="E304" s="47"/>
      <c r="F304" s="48"/>
      <c r="G304" s="49"/>
      <c r="H304" s="50"/>
      <c r="I304" s="51">
        <f>ROUND(PRODUCT(ROUND(PRODUCT(D304,E304,F304),2),G304,H304),2)</f>
        <v>0</v>
      </c>
    </row>
    <row r="305" spans="1:9" customFormat="1">
      <c r="A305" s="34"/>
      <c r="B305" s="35"/>
      <c r="C305" s="36"/>
      <c r="D305" s="37" t="s">
        <v>21</v>
      </c>
      <c r="E305" s="38"/>
      <c r="F305" s="39"/>
      <c r="G305" s="40" t="s">
        <v>22</v>
      </c>
      <c r="H305" s="41" t="s">
        <v>23</v>
      </c>
      <c r="I305" s="42">
        <f>SUBTOTAL(9,I300:I304)</f>
        <v>1.74</v>
      </c>
    </row>
    <row r="306" spans="1:9" customFormat="1"/>
    <row r="307" spans="1:9" customFormat="1"/>
    <row r="308" spans="1:9" customFormat="1">
      <c r="A308" s="24" t="s">
        <v>252</v>
      </c>
      <c r="B308" s="16" t="s">
        <v>253</v>
      </c>
      <c r="C308" s="17"/>
      <c r="D308" s="18"/>
      <c r="E308" s="19"/>
      <c r="F308" s="20"/>
      <c r="G308" s="21"/>
      <c r="H308" s="22"/>
      <c r="I308" s="23"/>
    </row>
    <row r="309" spans="1:9" customFormat="1">
      <c r="A309" s="25"/>
      <c r="B309" s="26" t="s">
        <v>16</v>
      </c>
      <c r="C309" s="27"/>
      <c r="D309" s="28" t="s">
        <v>19</v>
      </c>
      <c r="E309" s="29" t="s">
        <v>20</v>
      </c>
      <c r="F309" s="30"/>
      <c r="G309" s="31" t="s">
        <v>17</v>
      </c>
      <c r="H309" s="32"/>
      <c r="I309" s="33" t="s">
        <v>18</v>
      </c>
    </row>
    <row r="310" spans="1:9" customFormat="1">
      <c r="A310" s="43"/>
      <c r="B310" s="44" t="s">
        <v>240</v>
      </c>
      <c r="C310" s="45"/>
      <c r="D310" s="46">
        <v>0.92</v>
      </c>
      <c r="E310" s="47">
        <v>2.15</v>
      </c>
      <c r="F310" s="48"/>
      <c r="G310" s="49">
        <v>1</v>
      </c>
      <c r="H310" s="50"/>
      <c r="I310" s="51">
        <f>ROUND(PRODUCT(ROUND(PRODUCT(D310,E310,F310),2),G310,H310),2)</f>
        <v>1.98</v>
      </c>
    </row>
    <row r="311" spans="1:9" customFormat="1">
      <c r="A311" s="43"/>
      <c r="B311" s="44" t="s">
        <v>242</v>
      </c>
      <c r="C311" s="45"/>
      <c r="D311" s="46"/>
      <c r="E311" s="47"/>
      <c r="F311" s="48"/>
      <c r="G311" s="49"/>
      <c r="H311" s="50"/>
      <c r="I311" s="51">
        <f>ROUND(PRODUCT(ROUND(PRODUCT(D311,E311,F311),2),G311,H311),2)</f>
        <v>0</v>
      </c>
    </row>
    <row r="312" spans="1:9" customFormat="1">
      <c r="A312" s="43"/>
      <c r="B312" s="44" t="s">
        <v>241</v>
      </c>
      <c r="C312" s="45"/>
      <c r="D312" s="46"/>
      <c r="E312" s="47"/>
      <c r="F312" s="48"/>
      <c r="G312" s="49"/>
      <c r="H312" s="50"/>
      <c r="I312" s="51"/>
    </row>
    <row r="313" spans="1:9" customFormat="1">
      <c r="A313" s="43"/>
      <c r="B313" s="44" t="s">
        <v>116</v>
      </c>
      <c r="C313" s="45"/>
      <c r="D313" s="46"/>
      <c r="E313" s="47"/>
      <c r="F313" s="48"/>
      <c r="G313" s="49"/>
      <c r="H313" s="50"/>
      <c r="I313" s="51"/>
    </row>
    <row r="314" spans="1:9" customFormat="1">
      <c r="A314" s="43"/>
      <c r="B314" s="44" t="s">
        <v>254</v>
      </c>
      <c r="C314" s="45"/>
      <c r="D314" s="46"/>
      <c r="E314" s="47"/>
      <c r="F314" s="48"/>
      <c r="G314" s="49"/>
      <c r="H314" s="50"/>
      <c r="I314" s="51">
        <f>ROUND(PRODUCT(ROUND(PRODUCT(D314,E314,F314),2),G314,H314),2)</f>
        <v>0</v>
      </c>
    </row>
    <row r="315" spans="1:9" customFormat="1">
      <c r="A315" s="34"/>
      <c r="B315" s="35"/>
      <c r="C315" s="36"/>
      <c r="D315" s="37" t="s">
        <v>21</v>
      </c>
      <c r="E315" s="38"/>
      <c r="F315" s="39"/>
      <c r="G315" s="40" t="s">
        <v>22</v>
      </c>
      <c r="H315" s="41" t="s">
        <v>23</v>
      </c>
      <c r="I315" s="42">
        <f>SUBTOTAL(9,I310:I314)</f>
        <v>1.98</v>
      </c>
    </row>
    <row r="316" spans="1:9" customFormat="1"/>
    <row r="317" spans="1:9" customFormat="1"/>
    <row r="318" spans="1:9" customFormat="1">
      <c r="A318" s="24" t="s">
        <v>103</v>
      </c>
      <c r="B318" s="16" t="s">
        <v>104</v>
      </c>
      <c r="C318" s="17"/>
      <c r="D318" s="18"/>
      <c r="E318" s="19"/>
      <c r="F318" s="20"/>
      <c r="G318" s="21"/>
      <c r="H318" s="22"/>
      <c r="I318" s="23"/>
    </row>
    <row r="319" spans="1:9" customFormat="1"/>
    <row r="320" spans="1:9" customFormat="1"/>
    <row r="321" spans="1:9" customFormat="1">
      <c r="A321" s="24" t="s">
        <v>105</v>
      </c>
      <c r="B321" s="16" t="s">
        <v>106</v>
      </c>
      <c r="C321" s="17"/>
      <c r="D321" s="18"/>
      <c r="E321" s="19"/>
      <c r="F321" s="20"/>
      <c r="G321" s="21"/>
      <c r="H321" s="22"/>
      <c r="I321" s="23"/>
    </row>
    <row r="322" spans="1:9" customFormat="1">
      <c r="A322" s="34"/>
      <c r="B322" s="35"/>
      <c r="C322" s="36"/>
      <c r="D322" s="37" t="s">
        <v>21</v>
      </c>
      <c r="E322" s="38"/>
      <c r="F322" s="39"/>
      <c r="G322" s="40" t="s">
        <v>24</v>
      </c>
      <c r="H322" s="41"/>
      <c r="I322" s="52"/>
    </row>
    <row r="323" spans="1:9" customFormat="1"/>
    <row r="324" spans="1:9" customFormat="1"/>
    <row r="325" spans="1:9" customFormat="1">
      <c r="A325" s="24" t="s">
        <v>107</v>
      </c>
      <c r="B325" s="16" t="s">
        <v>108</v>
      </c>
      <c r="C325" s="17"/>
      <c r="D325" s="18"/>
      <c r="E325" s="19"/>
      <c r="F325" s="20"/>
      <c r="G325" s="21"/>
      <c r="H325" s="22"/>
      <c r="I325" s="23"/>
    </row>
    <row r="326" spans="1:9" customFormat="1">
      <c r="A326" s="34"/>
      <c r="B326" s="35"/>
      <c r="C326" s="36"/>
      <c r="D326" s="37" t="s">
        <v>21</v>
      </c>
      <c r="E326" s="38"/>
      <c r="F326" s="39"/>
      <c r="G326" s="40" t="s">
        <v>24</v>
      </c>
      <c r="H326" s="41"/>
      <c r="I326" s="52"/>
    </row>
    <row r="327" spans="1:9" customFormat="1"/>
    <row r="328" spans="1:9" customFormat="1"/>
    <row r="329" spans="1:9" customFormat="1">
      <c r="A329" s="24" t="s">
        <v>109</v>
      </c>
      <c r="B329" s="16" t="s">
        <v>110</v>
      </c>
      <c r="C329" s="17"/>
      <c r="D329" s="18"/>
      <c r="E329" s="19"/>
      <c r="F329" s="20"/>
      <c r="G329" s="21"/>
      <c r="H329" s="22"/>
      <c r="I329" s="23"/>
    </row>
    <row r="330" spans="1:9" customFormat="1"/>
    <row r="331" spans="1:9" customFormat="1"/>
    <row r="332" spans="1:9" customFormat="1">
      <c r="A332" s="24" t="s">
        <v>111</v>
      </c>
      <c r="B332" s="16" t="s">
        <v>171</v>
      </c>
      <c r="C332" s="17"/>
      <c r="D332" s="18"/>
      <c r="E332" s="19"/>
      <c r="F332" s="20"/>
      <c r="G332" s="21"/>
      <c r="H332" s="22"/>
      <c r="I332" s="23"/>
    </row>
    <row r="333" spans="1:9" customFormat="1">
      <c r="A333" s="34"/>
      <c r="B333" s="35"/>
      <c r="C333" s="36"/>
      <c r="D333" s="37" t="s">
        <v>21</v>
      </c>
      <c r="E333" s="38"/>
      <c r="F333" s="39"/>
      <c r="G333" s="40" t="s">
        <v>24</v>
      </c>
      <c r="H333" s="41"/>
      <c r="I333" s="52"/>
    </row>
    <row r="334" spans="1:9" customFormat="1"/>
    <row r="335" spans="1:9" customFormat="1"/>
    <row r="336" spans="1:9" customFormat="1">
      <c r="A336" s="24" t="s">
        <v>220</v>
      </c>
      <c r="B336" s="16" t="s">
        <v>222</v>
      </c>
      <c r="C336" s="17"/>
      <c r="D336" s="18"/>
      <c r="E336" s="19"/>
      <c r="F336" s="20"/>
      <c r="G336" s="21"/>
      <c r="H336" s="22"/>
      <c r="I336" s="23"/>
    </row>
    <row r="337" spans="1:9" customFormat="1"/>
    <row r="338" spans="1:9" customFormat="1"/>
    <row r="339" spans="1:9" customFormat="1">
      <c r="A339" s="24" t="s">
        <v>221</v>
      </c>
      <c r="B339" s="16" t="s">
        <v>223</v>
      </c>
      <c r="C339" s="17"/>
      <c r="D339" s="18"/>
      <c r="E339" s="19"/>
      <c r="F339" s="20"/>
      <c r="G339" s="21"/>
      <c r="H339" s="22"/>
      <c r="I339" s="23"/>
    </row>
    <row r="340" spans="1:9" customFormat="1">
      <c r="A340" s="34"/>
      <c r="B340" s="35"/>
      <c r="C340" s="36"/>
      <c r="D340" s="37" t="s">
        <v>21</v>
      </c>
      <c r="E340" s="38"/>
      <c r="F340" s="39"/>
      <c r="G340" s="40" t="s">
        <v>24</v>
      </c>
      <c r="H340" s="41"/>
      <c r="I340" s="52"/>
    </row>
    <row r="341" spans="1:9" customFormat="1"/>
    <row r="342" spans="1:9" customFormat="1"/>
    <row r="343" spans="1:9" customFormat="1">
      <c r="A343" s="24" t="s">
        <v>224</v>
      </c>
      <c r="B343" s="16" t="s">
        <v>225</v>
      </c>
      <c r="C343" s="17"/>
      <c r="D343" s="18"/>
      <c r="E343" s="19"/>
      <c r="F343" s="20"/>
      <c r="G343" s="21"/>
      <c r="H343" s="22"/>
      <c r="I343" s="23"/>
    </row>
    <row r="344" spans="1:9" customFormat="1">
      <c r="A344" s="34"/>
      <c r="B344" s="35"/>
      <c r="C344" s="36"/>
      <c r="D344" s="37" t="s">
        <v>21</v>
      </c>
      <c r="E344" s="38"/>
      <c r="F344" s="39"/>
      <c r="G344" s="40" t="s">
        <v>24</v>
      </c>
      <c r="H344" s="41"/>
      <c r="I344" s="52"/>
    </row>
    <row r="345" spans="1:9" customFormat="1"/>
    <row r="346" spans="1:9" customFormat="1"/>
    <row r="347" spans="1:9" customFormat="1">
      <c r="A347" s="24" t="s">
        <v>99</v>
      </c>
      <c r="B347" s="16" t="s">
        <v>100</v>
      </c>
      <c r="C347" s="17"/>
      <c r="D347" s="18"/>
      <c r="E347" s="19"/>
      <c r="F347" s="20"/>
      <c r="G347" s="21"/>
      <c r="H347" s="22"/>
      <c r="I347" s="23"/>
    </row>
    <row r="348" spans="1:9" customFormat="1">
      <c r="A348" s="34"/>
      <c r="B348" s="35"/>
      <c r="C348" s="36"/>
      <c r="D348" s="37" t="s">
        <v>21</v>
      </c>
      <c r="E348" s="38"/>
      <c r="F348" s="39"/>
      <c r="G348" s="40" t="s">
        <v>24</v>
      </c>
      <c r="H348" s="41"/>
      <c r="I348" s="52"/>
    </row>
    <row r="349" spans="1:9" customFormat="1"/>
    <row r="350" spans="1:9" customFormat="1"/>
    <row r="351" spans="1:9" customFormat="1">
      <c r="A351" s="24" t="s">
        <v>101</v>
      </c>
      <c r="B351" s="16" t="s">
        <v>102</v>
      </c>
      <c r="C351" s="17"/>
      <c r="D351" s="18"/>
      <c r="E351" s="19"/>
      <c r="F351" s="20"/>
      <c r="G351" s="21"/>
      <c r="H351" s="22"/>
      <c r="I351" s="23"/>
    </row>
    <row r="352" spans="1:9" customFormat="1">
      <c r="A352" s="34"/>
      <c r="B352" s="35"/>
      <c r="C352" s="36"/>
      <c r="D352" s="37" t="s">
        <v>21</v>
      </c>
      <c r="E352" s="38"/>
      <c r="F352" s="39"/>
      <c r="G352" s="40" t="s">
        <v>24</v>
      </c>
      <c r="H352" s="41"/>
      <c r="I352" s="52"/>
    </row>
    <row r="353" spans="1:9" customFormat="1"/>
    <row r="354" spans="1:9" customFormat="1"/>
    <row r="355" spans="1:9" customFormat="1">
      <c r="A355" s="24" t="s">
        <v>172</v>
      </c>
      <c r="B355" s="16" t="s">
        <v>173</v>
      </c>
      <c r="C355" s="17"/>
      <c r="D355" s="18"/>
      <c r="E355" s="19"/>
      <c r="F355" s="20"/>
      <c r="G355" s="21"/>
      <c r="H355" s="22"/>
      <c r="I355" s="23"/>
    </row>
    <row r="356" spans="1:9" customFormat="1">
      <c r="A356" s="34"/>
      <c r="B356" s="35"/>
      <c r="C356" s="36"/>
      <c r="D356" s="37" t="s">
        <v>21</v>
      </c>
      <c r="E356" s="38"/>
      <c r="F356" s="39"/>
      <c r="G356" s="40" t="s">
        <v>24</v>
      </c>
      <c r="H356" s="41"/>
      <c r="I356" s="52"/>
    </row>
    <row r="357" spans="1:9" customFormat="1"/>
    <row r="358" spans="1:9" customFormat="1"/>
    <row r="359" spans="1:9" customFormat="1">
      <c r="A359" s="24" t="s">
        <v>174</v>
      </c>
      <c r="B359" s="16" t="s">
        <v>175</v>
      </c>
      <c r="C359" s="17"/>
      <c r="D359" s="18"/>
      <c r="E359" s="19"/>
      <c r="F359" s="20"/>
      <c r="G359" s="21"/>
      <c r="H359" s="22"/>
      <c r="I359" s="23"/>
    </row>
    <row r="360" spans="1:9" customFormat="1"/>
    <row r="361" spans="1:9" customFormat="1"/>
    <row r="362" spans="1:9" customFormat="1">
      <c r="A362" s="24" t="s">
        <v>176</v>
      </c>
      <c r="B362" s="16" t="s">
        <v>177</v>
      </c>
      <c r="C362" s="17"/>
      <c r="D362" s="18"/>
      <c r="E362" s="19"/>
      <c r="F362" s="20"/>
      <c r="G362" s="21"/>
      <c r="H362" s="22"/>
      <c r="I362" s="23"/>
    </row>
    <row r="363" spans="1:9" customFormat="1"/>
    <row r="364" spans="1:9" customFormat="1"/>
    <row r="365" spans="1:9" customFormat="1">
      <c r="A365" s="24" t="s">
        <v>178</v>
      </c>
      <c r="B365" s="16" t="s">
        <v>208</v>
      </c>
      <c r="C365" s="17"/>
      <c r="D365" s="18"/>
      <c r="E365" s="19"/>
      <c r="F365" s="20"/>
      <c r="G365" s="21"/>
      <c r="H365" s="22"/>
      <c r="I365" s="23"/>
    </row>
    <row r="366" spans="1:9" customFormat="1">
      <c r="A366" s="25"/>
      <c r="B366" s="26" t="s">
        <v>16</v>
      </c>
      <c r="C366" s="27"/>
      <c r="D366" s="28" t="s">
        <v>19</v>
      </c>
      <c r="E366" s="29"/>
      <c r="F366" s="30"/>
      <c r="G366" s="31" t="s">
        <v>17</v>
      </c>
      <c r="H366" s="32"/>
      <c r="I366" s="33" t="s">
        <v>18</v>
      </c>
    </row>
    <row r="367" spans="1:9" customFormat="1">
      <c r="A367" s="43"/>
      <c r="B367" s="44" t="s">
        <v>255</v>
      </c>
      <c r="C367" s="45"/>
      <c r="D367" s="46">
        <v>1.3</v>
      </c>
      <c r="E367" s="47"/>
      <c r="F367" s="48"/>
      <c r="G367" s="49"/>
      <c r="H367" s="50"/>
      <c r="I367" s="51">
        <f t="shared" ref="I367:I380" si="3">ROUND(PRODUCT(ROUND(PRODUCT(D367,E367,F367),2),G367,H367),2)</f>
        <v>1.3</v>
      </c>
    </row>
    <row r="368" spans="1:9" customFormat="1">
      <c r="A368" s="43"/>
      <c r="B368" s="44" t="s">
        <v>256</v>
      </c>
      <c r="C368" s="45"/>
      <c r="D368" s="46">
        <v>1.3</v>
      </c>
      <c r="E368" s="47"/>
      <c r="F368" s="48"/>
      <c r="G368" s="49"/>
      <c r="H368" s="50"/>
      <c r="I368" s="51">
        <f t="shared" si="3"/>
        <v>1.3</v>
      </c>
    </row>
    <row r="369" spans="1:9" customFormat="1">
      <c r="A369" s="43"/>
      <c r="B369" s="44" t="s">
        <v>257</v>
      </c>
      <c r="C369" s="45"/>
      <c r="D369" s="46">
        <v>1.1100000000000001</v>
      </c>
      <c r="E369" s="47"/>
      <c r="F369" s="48"/>
      <c r="G369" s="49"/>
      <c r="H369" s="50"/>
      <c r="I369" s="51">
        <f t="shared" si="3"/>
        <v>1.1100000000000001</v>
      </c>
    </row>
    <row r="370" spans="1:9" customFormat="1">
      <c r="A370" s="43"/>
      <c r="B370" s="44" t="s">
        <v>209</v>
      </c>
      <c r="C370" s="45"/>
      <c r="D370" s="46">
        <v>1.1100000000000001</v>
      </c>
      <c r="E370" s="47"/>
      <c r="F370" s="48"/>
      <c r="G370" s="49"/>
      <c r="H370" s="50"/>
      <c r="I370" s="51">
        <f t="shared" si="3"/>
        <v>1.1100000000000001</v>
      </c>
    </row>
    <row r="371" spans="1:9" customFormat="1">
      <c r="A371" s="43"/>
      <c r="B371" s="44" t="s">
        <v>258</v>
      </c>
      <c r="C371" s="45"/>
      <c r="D371" s="46">
        <v>1</v>
      </c>
      <c r="E371" s="47"/>
      <c r="F371" s="48"/>
      <c r="G371" s="49"/>
      <c r="H371" s="50"/>
      <c r="I371" s="51">
        <f t="shared" si="3"/>
        <v>1</v>
      </c>
    </row>
    <row r="372" spans="1:9" customFormat="1">
      <c r="A372" s="43"/>
      <c r="B372" s="44" t="s">
        <v>210</v>
      </c>
      <c r="C372" s="45"/>
      <c r="D372" s="46">
        <v>1.46</v>
      </c>
      <c r="E372" s="47"/>
      <c r="F372" s="48"/>
      <c r="G372" s="49"/>
      <c r="H372" s="50"/>
      <c r="I372" s="51">
        <f t="shared" si="3"/>
        <v>1.46</v>
      </c>
    </row>
    <row r="373" spans="1:9" customFormat="1">
      <c r="A373" s="43"/>
      <c r="B373" s="44" t="s">
        <v>211</v>
      </c>
      <c r="C373" s="45"/>
      <c r="D373" s="46">
        <v>1.56</v>
      </c>
      <c r="E373" s="47"/>
      <c r="F373" s="48"/>
      <c r="G373" s="49"/>
      <c r="H373" s="50"/>
      <c r="I373" s="51">
        <f t="shared" si="3"/>
        <v>1.56</v>
      </c>
    </row>
    <row r="374" spans="1:9" customFormat="1">
      <c r="A374" s="43"/>
      <c r="B374" s="44" t="s">
        <v>259</v>
      </c>
      <c r="C374" s="45"/>
      <c r="D374" s="46">
        <v>1.02</v>
      </c>
      <c r="E374" s="47"/>
      <c r="F374" s="48"/>
      <c r="G374" s="49"/>
      <c r="H374" s="50"/>
      <c r="I374" s="51">
        <f t="shared" si="3"/>
        <v>1.02</v>
      </c>
    </row>
    <row r="375" spans="1:9" customFormat="1">
      <c r="A375" s="43"/>
      <c r="B375" s="44" t="s">
        <v>260</v>
      </c>
      <c r="C375" s="45"/>
      <c r="D375" s="46">
        <f>D374</f>
        <v>1.02</v>
      </c>
      <c r="E375" s="47"/>
      <c r="F375" s="48"/>
      <c r="G375" s="49"/>
      <c r="H375" s="50"/>
      <c r="I375" s="51">
        <f t="shared" si="3"/>
        <v>1.02</v>
      </c>
    </row>
    <row r="376" spans="1:9" customFormat="1">
      <c r="A376" s="43"/>
      <c r="B376" s="44" t="s">
        <v>213</v>
      </c>
      <c r="C376" s="45"/>
      <c r="D376" s="46">
        <f t="shared" ref="D376:D379" si="4">D375</f>
        <v>1.02</v>
      </c>
      <c r="E376" s="47"/>
      <c r="F376" s="48"/>
      <c r="G376" s="49"/>
      <c r="H376" s="50"/>
      <c r="I376" s="51">
        <f t="shared" si="3"/>
        <v>1.02</v>
      </c>
    </row>
    <row r="377" spans="1:9" customFormat="1">
      <c r="A377" s="43"/>
      <c r="B377" s="44" t="s">
        <v>214</v>
      </c>
      <c r="C377" s="45"/>
      <c r="D377" s="46">
        <f t="shared" si="4"/>
        <v>1.02</v>
      </c>
      <c r="E377" s="47"/>
      <c r="F377" s="48"/>
      <c r="G377" s="49"/>
      <c r="H377" s="50"/>
      <c r="I377" s="51">
        <f t="shared" ref="I377:I378" si="5">ROUND(PRODUCT(ROUND(PRODUCT(D377,E377,F377),2),G377,H377),2)</f>
        <v>1.02</v>
      </c>
    </row>
    <row r="378" spans="1:9" customFormat="1">
      <c r="A378" s="43"/>
      <c r="B378" s="44" t="s">
        <v>261</v>
      </c>
      <c r="C378" s="45"/>
      <c r="D378" s="46">
        <f t="shared" si="4"/>
        <v>1.02</v>
      </c>
      <c r="E378" s="47"/>
      <c r="F378" s="48"/>
      <c r="G378" s="49"/>
      <c r="H378" s="50"/>
      <c r="I378" s="51">
        <f t="shared" si="5"/>
        <v>1.02</v>
      </c>
    </row>
    <row r="379" spans="1:9" customFormat="1">
      <c r="A379" s="43"/>
      <c r="B379" s="44" t="s">
        <v>212</v>
      </c>
      <c r="C379" s="45"/>
      <c r="D379" s="46">
        <f t="shared" si="4"/>
        <v>1.02</v>
      </c>
      <c r="E379" s="47"/>
      <c r="F379" s="48"/>
      <c r="G379" s="49"/>
      <c r="H379" s="50"/>
      <c r="I379" s="51">
        <f t="shared" si="3"/>
        <v>1.02</v>
      </c>
    </row>
    <row r="380" spans="1:9" customFormat="1">
      <c r="A380" s="43"/>
      <c r="B380" s="44"/>
      <c r="C380" s="45"/>
      <c r="D380" s="46"/>
      <c r="E380" s="47"/>
      <c r="F380" s="48"/>
      <c r="G380" s="49"/>
      <c r="H380" s="50"/>
      <c r="I380" s="51">
        <f t="shared" si="3"/>
        <v>0</v>
      </c>
    </row>
    <row r="381" spans="1:9" customFormat="1">
      <c r="A381" s="34"/>
      <c r="B381" s="35"/>
      <c r="C381" s="36"/>
      <c r="D381" s="37" t="s">
        <v>21</v>
      </c>
      <c r="E381" s="38"/>
      <c r="F381" s="39"/>
      <c r="G381" s="40" t="s">
        <v>207</v>
      </c>
      <c r="H381" s="41" t="s">
        <v>48</v>
      </c>
      <c r="I381" s="42">
        <f>SUBTOTAL(9,I367:I380)</f>
        <v>14.959999999999997</v>
      </c>
    </row>
    <row r="382" spans="1:9" customFormat="1"/>
    <row r="383" spans="1:9" customFormat="1"/>
    <row r="384" spans="1:9" customFormat="1">
      <c r="A384" s="24" t="s">
        <v>112</v>
      </c>
      <c r="B384" s="16" t="s">
        <v>113</v>
      </c>
      <c r="C384" s="17"/>
      <c r="D384" s="18"/>
      <c r="E384" s="19"/>
      <c r="F384" s="20"/>
      <c r="G384" s="21"/>
      <c r="H384" s="22"/>
      <c r="I384" s="23"/>
    </row>
    <row r="385" spans="1:9" customFormat="1"/>
    <row r="386" spans="1:9" customFormat="1"/>
    <row r="387" spans="1:9" customFormat="1">
      <c r="A387" s="24" t="s">
        <v>114</v>
      </c>
      <c r="B387" s="16" t="s">
        <v>115</v>
      </c>
      <c r="C387" s="17"/>
      <c r="D387" s="18"/>
      <c r="E387" s="19"/>
      <c r="F387" s="20"/>
      <c r="G387" s="21"/>
      <c r="H387" s="22"/>
      <c r="I387" s="23"/>
    </row>
    <row r="388" spans="1:9" customFormat="1"/>
    <row r="389" spans="1:9" customFormat="1"/>
    <row r="390" spans="1:9" customFormat="1">
      <c r="A390" s="24" t="s">
        <v>179</v>
      </c>
      <c r="B390" s="16" t="s">
        <v>180</v>
      </c>
      <c r="C390" s="17"/>
      <c r="D390" s="18"/>
      <c r="E390" s="19"/>
      <c r="F390" s="20"/>
      <c r="G390" s="21"/>
      <c r="H390" s="22"/>
      <c r="I390" s="23"/>
    </row>
    <row r="391" spans="1:9" customFormat="1"/>
    <row r="392" spans="1:9" customFormat="1"/>
    <row r="393" spans="1:9" customFormat="1">
      <c r="A393" s="24" t="s">
        <v>181</v>
      </c>
      <c r="B393" s="16" t="s">
        <v>182</v>
      </c>
      <c r="C393" s="17"/>
      <c r="D393" s="18"/>
      <c r="E393" s="19"/>
      <c r="F393" s="20"/>
      <c r="G393" s="21"/>
      <c r="H393" s="22"/>
      <c r="I393" s="23"/>
    </row>
    <row r="394" spans="1:9" customFormat="1">
      <c r="A394" s="34"/>
      <c r="B394" s="35"/>
      <c r="C394" s="36"/>
      <c r="D394" s="37" t="s">
        <v>21</v>
      </c>
      <c r="E394" s="38"/>
      <c r="F394" s="39"/>
      <c r="G394" s="40" t="s">
        <v>24</v>
      </c>
      <c r="H394" s="41"/>
      <c r="I394" s="52"/>
    </row>
    <row r="395" spans="1:9" customFormat="1"/>
    <row r="396" spans="1:9" customFormat="1"/>
    <row r="397" spans="1:9" customFormat="1">
      <c r="A397" s="24" t="s">
        <v>204</v>
      </c>
      <c r="B397" s="16" t="s">
        <v>202</v>
      </c>
      <c r="C397" s="17"/>
      <c r="D397" s="18"/>
      <c r="E397" s="19"/>
      <c r="F397" s="20"/>
      <c r="G397" s="21"/>
      <c r="H397" s="22"/>
      <c r="I397" s="23"/>
    </row>
    <row r="398" spans="1:9" customFormat="1"/>
    <row r="399" spans="1:9" customFormat="1"/>
    <row r="400" spans="1:9" customFormat="1">
      <c r="A400" s="24" t="s">
        <v>205</v>
      </c>
      <c r="B400" s="16" t="s">
        <v>203</v>
      </c>
      <c r="C400" s="17"/>
      <c r="D400" s="18"/>
      <c r="E400" s="19"/>
      <c r="F400" s="20"/>
      <c r="G400" s="21"/>
      <c r="H400" s="22"/>
      <c r="I400" s="23"/>
    </row>
    <row r="401" spans="1:9" customFormat="1"/>
    <row r="402" spans="1:9" customFormat="1"/>
    <row r="403" spans="1:9" customFormat="1">
      <c r="A403" s="24" t="s">
        <v>206</v>
      </c>
      <c r="B403" s="16" t="s">
        <v>265</v>
      </c>
      <c r="C403" s="17"/>
      <c r="D403" s="18"/>
      <c r="E403" s="19"/>
      <c r="F403" s="20"/>
      <c r="G403" s="21"/>
      <c r="H403" s="22"/>
      <c r="I403" s="23"/>
    </row>
    <row r="404" spans="1:9" customFormat="1">
      <c r="A404" s="43"/>
      <c r="B404" s="44" t="s">
        <v>259</v>
      </c>
      <c r="C404" s="45" t="s">
        <v>262</v>
      </c>
      <c r="D404" s="46">
        <v>1.02</v>
      </c>
      <c r="E404" s="47"/>
      <c r="F404" s="48"/>
      <c r="G404" s="49"/>
      <c r="H404" s="50"/>
      <c r="I404" s="51"/>
    </row>
    <row r="405" spans="1:9" customFormat="1">
      <c r="A405" s="43"/>
      <c r="B405" s="44" t="s">
        <v>258</v>
      </c>
      <c r="C405" s="45" t="s">
        <v>263</v>
      </c>
      <c r="D405" s="46">
        <v>1</v>
      </c>
      <c r="E405" s="47"/>
      <c r="F405" s="48"/>
      <c r="G405" s="49"/>
      <c r="H405" s="50"/>
      <c r="I405" s="51"/>
    </row>
    <row r="406" spans="1:9" customFormat="1">
      <c r="A406" s="43"/>
      <c r="B406" s="44" t="s">
        <v>264</v>
      </c>
      <c r="C406" s="45" t="s">
        <v>262</v>
      </c>
      <c r="D406" s="46">
        <v>0.92</v>
      </c>
      <c r="E406" s="47"/>
      <c r="F406" s="48"/>
      <c r="G406" s="49"/>
      <c r="H406" s="50"/>
      <c r="I406" s="51"/>
    </row>
    <row r="407" spans="1:9" customFormat="1">
      <c r="A407" s="43"/>
      <c r="B407" s="44"/>
      <c r="C407" s="45"/>
      <c r="D407" s="46"/>
      <c r="E407" s="47"/>
      <c r="F407" s="48"/>
      <c r="G407" s="49"/>
      <c r="H407" s="50"/>
      <c r="I407" s="51">
        <f t="shared" ref="I407" si="6">ROUND(PRODUCT(ROUND(PRODUCT(D407,E407,F407),2),G407,H407),2)</f>
        <v>0</v>
      </c>
    </row>
    <row r="408" spans="1:9" customFormat="1"/>
    <row r="409" spans="1:9" customFormat="1"/>
    <row r="410" spans="1:9" ht="13.5">
      <c r="F410" s="9"/>
    </row>
  </sheetData>
  <customSheetViews>
    <customSheetView guid="{FB9CF438-7C22-4175-8BD5-85F73304A945}" zeroValues="0" hiddenRows="1" hiddenColumns="1" topLeftCell="A165">
      <selection activeCell="B137" sqref="B137"/>
    </customSheetView>
    <customSheetView guid="{5E9F7C6D-2B9E-4634-AFF8-B0D468A179D7}" zeroValues="0" hiddenRows="1" hiddenColumns="1" topLeftCell="A165">
      <selection activeCell="B137" sqref="B137"/>
    </customSheetView>
  </customSheetViews>
  <mergeCells count="4">
    <mergeCell ref="E4:I4"/>
    <mergeCell ref="D5:I5"/>
    <mergeCell ref="E9:I9"/>
    <mergeCell ref="D10:I10"/>
  </mergeCells>
  <phoneticPr fontId="6" type="noConversion"/>
  <pageMargins left="0.78740157480314965" right="0.59055118110236227" top="0.78740157480314965" bottom="0.59055118110236227" header="0.31496062992125984" footer="0.31496062992125984"/>
  <pageSetup paperSize="9" scale="91" fitToHeight="0" orientation="portrait" r:id="rId1"/>
  <headerFooter>
    <oddFooter>&amp;Rpag. &amp;P van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6D28A-A972-4DE1-A6D3-FABFB91EA75E}">
  <dimension ref="A1:AD121"/>
  <sheetViews>
    <sheetView tabSelected="1" topLeftCell="A2" zoomScaleNormal="100" zoomScaleSheetLayoutView="100" workbookViewId="0">
      <pane xSplit="29" ySplit="12" topLeftCell="AD94" activePane="bottomRight" state="frozen"/>
      <selection activeCell="A2" sqref="A2"/>
      <selection pane="topRight" activeCell="AD2" sqref="AD2"/>
      <selection pane="bottomLeft" activeCell="A9" sqref="A9"/>
      <selection pane="bottomRight" activeCell="H30" sqref="H30:H113"/>
    </sheetView>
  </sheetViews>
  <sheetFormatPr defaultColWidth="9.140625" defaultRowHeight="12.75" outlineLevelCol="2"/>
  <cols>
    <col min="1" max="1" width="6.42578125" style="131" customWidth="1"/>
    <col min="2" max="2" width="12" style="62" bestFit="1" customWidth="1"/>
    <col min="3" max="3" width="58.5703125" style="62" customWidth="1"/>
    <col min="4" max="4" width="4.85546875" style="62" customWidth="1"/>
    <col min="5" max="5" width="3.42578125" style="62" bestFit="1" customWidth="1"/>
    <col min="6" max="6" width="9.7109375" style="62" customWidth="1"/>
    <col min="7" max="7" width="9.7109375" style="62" hidden="1" customWidth="1"/>
    <col min="8" max="8" width="11.140625" style="62" customWidth="1"/>
    <col min="9" max="9" width="13" style="62" customWidth="1"/>
    <col min="10" max="10" width="14.28515625" style="62" customWidth="1"/>
    <col min="11" max="12" width="10.7109375" style="62" hidden="1" customWidth="1" outlineLevel="1"/>
    <col min="13" max="17" width="10.7109375" style="62" hidden="1" customWidth="1" outlineLevel="2"/>
    <col min="18" max="18" width="10.7109375" style="62" hidden="1" customWidth="1" outlineLevel="1"/>
    <col min="19" max="23" width="10.7109375" style="62" hidden="1" customWidth="1" outlineLevel="2"/>
    <col min="24" max="24" width="10.7109375" style="62" hidden="1" customWidth="1" outlineLevel="1"/>
    <col min="25" max="27" width="10.7109375" style="62" hidden="1" customWidth="1" outlineLevel="2"/>
    <col min="28" max="28" width="9.5703125" style="62" hidden="1" customWidth="1" outlineLevel="2"/>
    <col min="29" max="29" width="10.28515625" style="62" hidden="1" customWidth="1" outlineLevel="2"/>
    <col min="30" max="30" width="9.140625" style="62" collapsed="1"/>
    <col min="31" max="16384" width="9.140625" style="62"/>
  </cols>
  <sheetData>
    <row r="1" spans="1:29" hidden="1">
      <c r="A1" s="60"/>
      <c r="B1" s="61"/>
      <c r="C1" s="61"/>
      <c r="D1" s="61"/>
      <c r="E1" s="61"/>
      <c r="F1" s="61"/>
      <c r="G1" s="61"/>
      <c r="H1" s="61"/>
      <c r="I1" s="61"/>
      <c r="J1" s="61"/>
    </row>
    <row r="2" spans="1:29" ht="17.25" hidden="1" customHeight="1">
      <c r="A2" s="63"/>
      <c r="B2" s="63"/>
      <c r="C2" s="63"/>
      <c r="D2" s="63"/>
      <c r="E2" s="63"/>
      <c r="F2" s="63"/>
      <c r="G2" s="63"/>
      <c r="H2" s="63"/>
      <c r="I2" s="63"/>
      <c r="J2" s="63"/>
    </row>
    <row r="3" spans="1:29" ht="17.25" hidden="1" customHeight="1">
      <c r="A3" s="64"/>
      <c r="B3" s="65"/>
      <c r="C3" s="64" t="s">
        <v>12</v>
      </c>
      <c r="D3" s="64"/>
      <c r="E3" s="64"/>
      <c r="F3" s="66"/>
      <c r="G3" s="64"/>
      <c r="H3" s="64"/>
      <c r="I3" s="67" t="str">
        <f>_xlfn.SINGLE(_C3A_Dossiernaam)</f>
        <v>Woning Eva&amp; David</v>
      </c>
      <c r="J3" s="64"/>
    </row>
    <row r="4" spans="1:29" hidden="1">
      <c r="A4" s="68" t="s">
        <v>8</v>
      </c>
      <c r="B4" s="69" t="str">
        <f>_xlfn.SINGLE(_C3A_Dossiernummer)</f>
        <v>DED17</v>
      </c>
      <c r="C4" s="63"/>
      <c r="D4" s="63"/>
      <c r="E4" s="139" t="str">
        <f>meetstaat</f>
        <v>EERSTE GLOBALE RAMING</v>
      </c>
      <c r="F4" s="139"/>
      <c r="G4" s="139"/>
      <c r="H4" s="139"/>
      <c r="I4" s="139"/>
      <c r="J4" s="63"/>
      <c r="L4" s="62" t="s">
        <v>0</v>
      </c>
      <c r="M4" s="62" t="s">
        <v>1</v>
      </c>
    </row>
    <row r="5" spans="1:29" ht="12" hidden="1" customHeight="1">
      <c r="A5" s="68" t="s">
        <v>9</v>
      </c>
      <c r="B5" s="69" t="str">
        <f>uitgave</f>
        <v>1ste – 22/09/2020</v>
      </c>
      <c r="C5" s="63" t="s">
        <v>11</v>
      </c>
      <c r="D5" s="140">
        <f>inhoud</f>
        <v>0</v>
      </c>
      <c r="E5" s="140"/>
      <c r="F5" s="140"/>
      <c r="G5" s="140"/>
      <c r="H5" s="140"/>
      <c r="I5" s="140"/>
      <c r="J5" s="63"/>
      <c r="L5" s="62" t="s">
        <v>2</v>
      </c>
      <c r="M5" s="62" t="s">
        <v>3</v>
      </c>
    </row>
    <row r="6" spans="1:29" hidden="1">
      <c r="A6" s="68" t="s">
        <v>10</v>
      </c>
      <c r="B6" s="69" t="str">
        <f>auteur</f>
        <v>MSC</v>
      </c>
      <c r="C6" s="63" t="s">
        <v>118</v>
      </c>
      <c r="D6" s="63"/>
      <c r="E6" s="63"/>
      <c r="F6" s="63"/>
      <c r="G6" s="63"/>
      <c r="H6" s="63"/>
      <c r="I6" s="70"/>
      <c r="J6" s="70"/>
      <c r="L6" s="62" t="s">
        <v>4</v>
      </c>
      <c r="M6" s="62" t="s">
        <v>5</v>
      </c>
    </row>
    <row r="7" spans="1:29">
      <c r="A7" s="68"/>
      <c r="B7" s="69"/>
      <c r="C7" s="63"/>
      <c r="D7" s="63"/>
      <c r="E7" s="63"/>
      <c r="F7" s="63"/>
      <c r="G7" s="63"/>
      <c r="H7" s="63"/>
      <c r="I7" s="70"/>
      <c r="J7" s="70"/>
    </row>
    <row r="8" spans="1:29" ht="17.25" customHeight="1">
      <c r="A8" s="64"/>
      <c r="B8" s="65"/>
      <c r="C8" s="132"/>
      <c r="D8" s="64"/>
      <c r="E8" s="64"/>
      <c r="F8" s="66"/>
      <c r="G8" s="64"/>
      <c r="H8" s="64"/>
      <c r="I8" s="67" t="str">
        <f>Detail!I8</f>
        <v>WAASMUNSTER - Renovatie van jeugdlokalen</v>
      </c>
      <c r="J8" s="64"/>
    </row>
    <row r="9" spans="1:29">
      <c r="A9" s="68" t="s">
        <v>8</v>
      </c>
      <c r="B9" s="69" t="str">
        <f>Detail!B9</f>
        <v>WRJ22</v>
      </c>
      <c r="C9" s="133"/>
      <c r="D9" s="63"/>
      <c r="E9" s="139" t="str">
        <f>Detail!E9</f>
        <v>40-BUITENSCHRIJNWERK</v>
      </c>
      <c r="F9" s="139"/>
      <c r="G9" s="139"/>
      <c r="H9" s="139"/>
      <c r="I9" s="139"/>
      <c r="J9" s="63"/>
      <c r="L9" s="62" t="s">
        <v>0</v>
      </c>
      <c r="M9" s="62" t="s">
        <v>1</v>
      </c>
    </row>
    <row r="10" spans="1:29" ht="12" customHeight="1">
      <c r="A10" s="68" t="s">
        <v>9</v>
      </c>
      <c r="B10" s="69" t="str">
        <f>Detail!B10</f>
        <v>1ste – 16/12/2022</v>
      </c>
      <c r="C10" s="133"/>
      <c r="D10" s="140"/>
      <c r="E10" s="140"/>
      <c r="F10" s="140"/>
      <c r="G10" s="140"/>
      <c r="H10" s="140"/>
      <c r="I10" s="140"/>
      <c r="J10" s="63"/>
      <c r="L10" s="62" t="s">
        <v>2</v>
      </c>
      <c r="M10" s="62" t="s">
        <v>3</v>
      </c>
    </row>
    <row r="11" spans="1:29">
      <c r="A11" s="68" t="s">
        <v>10</v>
      </c>
      <c r="B11" s="69" t="str">
        <f>Detail!B11</f>
        <v>STS_OMA</v>
      </c>
      <c r="C11" s="133"/>
      <c r="D11" s="63"/>
      <c r="E11" s="63"/>
      <c r="F11" s="63"/>
      <c r="G11" s="63"/>
      <c r="H11" s="63"/>
      <c r="I11" s="70"/>
      <c r="J11" s="70"/>
      <c r="L11" s="62" t="s">
        <v>4</v>
      </c>
      <c r="M11" s="62" t="s">
        <v>5</v>
      </c>
    </row>
    <row r="12" spans="1:29" s="71" customFormat="1" ht="15" customHeight="1">
      <c r="L12" s="72" t="s">
        <v>30</v>
      </c>
      <c r="M12" s="73"/>
      <c r="N12" s="73"/>
      <c r="O12" s="73"/>
      <c r="P12" s="73"/>
      <c r="Q12" s="74"/>
      <c r="R12" s="75" t="s">
        <v>31</v>
      </c>
      <c r="S12" s="75"/>
      <c r="T12" s="75"/>
      <c r="U12" s="75"/>
      <c r="V12" s="75"/>
      <c r="W12" s="76"/>
      <c r="X12" s="77" t="s">
        <v>32</v>
      </c>
      <c r="Y12" s="77"/>
      <c r="Z12" s="77"/>
      <c r="AA12" s="77"/>
      <c r="AB12" s="77"/>
      <c r="AC12" s="78"/>
    </row>
    <row r="13" spans="1:29" s="91" customFormat="1">
      <c r="A13" s="79" t="s">
        <v>33</v>
      </c>
      <c r="B13" s="80" t="s">
        <v>34</v>
      </c>
      <c r="C13" s="81" t="s">
        <v>16</v>
      </c>
      <c r="D13" s="141" t="s">
        <v>35</v>
      </c>
      <c r="E13" s="142"/>
      <c r="F13" s="80" t="s">
        <v>36</v>
      </c>
      <c r="G13" s="82" t="s">
        <v>37</v>
      </c>
      <c r="H13" s="80" t="s">
        <v>38</v>
      </c>
      <c r="I13" s="83" t="s">
        <v>18</v>
      </c>
      <c r="J13" s="80"/>
      <c r="K13" s="84" t="s">
        <v>39</v>
      </c>
      <c r="L13" s="85" t="s">
        <v>40</v>
      </c>
      <c r="M13" s="85" t="s">
        <v>41</v>
      </c>
      <c r="N13" s="85" t="s">
        <v>42</v>
      </c>
      <c r="O13" s="85" t="s">
        <v>18</v>
      </c>
      <c r="P13" s="85" t="s">
        <v>43</v>
      </c>
      <c r="Q13" s="86" t="s">
        <v>44</v>
      </c>
      <c r="R13" s="87" t="s">
        <v>40</v>
      </c>
      <c r="S13" s="87" t="s">
        <v>41</v>
      </c>
      <c r="T13" s="87" t="s">
        <v>42</v>
      </c>
      <c r="U13" s="87" t="s">
        <v>18</v>
      </c>
      <c r="V13" s="87" t="s">
        <v>43</v>
      </c>
      <c r="W13" s="88" t="s">
        <v>44</v>
      </c>
      <c r="X13" s="89" t="s">
        <v>40</v>
      </c>
      <c r="Y13" s="89" t="s">
        <v>41</v>
      </c>
      <c r="Z13" s="89" t="s">
        <v>42</v>
      </c>
      <c r="AA13" s="89" t="s">
        <v>18</v>
      </c>
      <c r="AB13" s="89" t="s">
        <v>43</v>
      </c>
      <c r="AC13" s="90" t="s">
        <v>44</v>
      </c>
    </row>
    <row r="14" spans="1:29" s="91" customFormat="1">
      <c r="A14" s="92"/>
      <c r="B14" s="93" t="s">
        <v>120</v>
      </c>
      <c r="C14" s="94"/>
      <c r="D14" s="95"/>
      <c r="E14" s="94"/>
      <c r="F14" s="94"/>
      <c r="G14" s="94"/>
      <c r="H14" s="96"/>
      <c r="I14" s="96"/>
      <c r="J14" s="97"/>
      <c r="K14" s="98"/>
      <c r="L14" s="99"/>
      <c r="M14" s="94"/>
      <c r="N14" s="100"/>
      <c r="O14" s="96">
        <f t="shared" ref="O14:O45" si="0">IF(MID($D14,3,1)="-","*********",ROUND(IF(NOT(ISNUMBER($G14)),IF(NOT(ISNUMBER($F14)),1,$F14),$G14)*(IF(NOT(ISNUMBER(N14)),L14,N14)),2))</f>
        <v>0</v>
      </c>
      <c r="P14" s="101" t="str">
        <f t="shared" ref="P14:P77" si="1">IF(O$116=0,"",O14/O$116)</f>
        <v/>
      </c>
      <c r="Q14" s="102" t="str">
        <f t="shared" ref="Q14:Q77" si="2">IF($K14=0,"",IF(NOT(ISNUMBER(N14)),L14,N14)/$K14-1)</f>
        <v/>
      </c>
      <c r="R14" s="99"/>
      <c r="S14" s="94"/>
      <c r="T14" s="100"/>
      <c r="U14" s="96">
        <f t="shared" ref="U14:U45" si="3">IF(MID($D14,3,1)="-","*********",ROUND(IF(NOT(ISNUMBER($G14)),IF(NOT(ISNUMBER($F14)),1,$F14),$G14)*(IF(NOT(ISNUMBER(T14)),R14,T14)),2))</f>
        <v>0</v>
      </c>
      <c r="V14" s="101" t="str">
        <f t="shared" ref="V14:V77" si="4">IF(U$116=0,"",U14/U$116)</f>
        <v/>
      </c>
      <c r="W14" s="102" t="str">
        <f t="shared" ref="W14:W77" si="5">IF($K14=0,"",IF(NOT(ISNUMBER(T14)),R14,T14)/$K14-1)</f>
        <v/>
      </c>
      <c r="X14" s="99"/>
      <c r="Y14" s="94"/>
      <c r="Z14" s="100"/>
      <c r="AA14" s="96">
        <f t="shared" ref="AA14:AA45" si="6">IF(MID($D14,3,1)="-","*********",ROUND(IF(NOT(ISNUMBER($G14)),IF(NOT(ISNUMBER($F14)),1,$F14),$G14)*(IF(NOT(ISNUMBER(Z14)),X14,Z14)),2))</f>
        <v>0</v>
      </c>
      <c r="AB14" s="101" t="str">
        <f t="shared" ref="AB14:AB77" si="7">IF(AA$116=0,"",AA14/AA$116)</f>
        <v/>
      </c>
      <c r="AC14" s="102" t="str">
        <f t="shared" ref="AC14:AC77" si="8">IF($K14=0,"",IF(NOT(ISNUMBER(Z14)),X14,Z14)/$K14-1)</f>
        <v/>
      </c>
    </row>
    <row r="15" spans="1:29">
      <c r="A15" s="92"/>
      <c r="B15" s="103" t="str">
        <f>[3]!ArticleCode(Art_01.)</f>
        <v>01.</v>
      </c>
      <c r="C15" s="134" t="str">
        <f>[3]!ArticleDescription(Art_01.)</f>
        <v>AANNEMINGSMODALITEITEN</v>
      </c>
      <c r="D15" s="94"/>
      <c r="E15" s="94"/>
      <c r="F15" s="94"/>
      <c r="G15" s="94"/>
      <c r="H15" s="96"/>
      <c r="I15" s="96"/>
      <c r="J15" s="97"/>
      <c r="K15" s="98"/>
      <c r="L15" s="99"/>
      <c r="M15" s="94"/>
      <c r="N15" s="100"/>
      <c r="O15" s="96">
        <f t="shared" si="0"/>
        <v>0</v>
      </c>
      <c r="P15" s="101" t="str">
        <f t="shared" si="1"/>
        <v/>
      </c>
      <c r="Q15" s="102" t="str">
        <f t="shared" si="2"/>
        <v/>
      </c>
      <c r="R15" s="99"/>
      <c r="S15" s="94"/>
      <c r="T15" s="100"/>
      <c r="U15" s="96">
        <f t="shared" si="3"/>
        <v>0</v>
      </c>
      <c r="V15" s="101" t="str">
        <f t="shared" si="4"/>
        <v/>
      </c>
      <c r="W15" s="102" t="str">
        <f t="shared" si="5"/>
        <v/>
      </c>
      <c r="X15" s="99"/>
      <c r="Y15" s="94"/>
      <c r="Z15" s="100"/>
      <c r="AA15" s="96">
        <f t="shared" si="6"/>
        <v>0</v>
      </c>
      <c r="AB15" s="101" t="str">
        <f t="shared" si="7"/>
        <v/>
      </c>
      <c r="AC15" s="102" t="str">
        <f t="shared" si="8"/>
        <v/>
      </c>
    </row>
    <row r="16" spans="1:29">
      <c r="A16" s="92"/>
      <c r="B16" s="103" t="str">
        <f>[3]!ArticleCode(Art_01.00.)</f>
        <v>01.00.</v>
      </c>
      <c r="C16" s="134" t="str">
        <f>[3]!ArticleDescription(Art_01.00.)</f>
        <v>aannemingsmodaliteiten - algemeen</v>
      </c>
      <c r="D16" s="94"/>
      <c r="E16" s="94"/>
      <c r="F16" s="94"/>
      <c r="G16" s="94"/>
      <c r="H16" s="96"/>
      <c r="I16" s="96"/>
      <c r="J16" s="97"/>
      <c r="K16" s="98"/>
      <c r="L16" s="99"/>
      <c r="M16" s="94"/>
      <c r="N16" s="100"/>
      <c r="O16" s="96">
        <f t="shared" si="0"/>
        <v>0</v>
      </c>
      <c r="P16" s="101" t="str">
        <f t="shared" si="1"/>
        <v/>
      </c>
      <c r="Q16" s="102" t="str">
        <f t="shared" si="2"/>
        <v/>
      </c>
      <c r="R16" s="99"/>
      <c r="S16" s="94"/>
      <c r="T16" s="100"/>
      <c r="U16" s="96">
        <f t="shared" si="3"/>
        <v>0</v>
      </c>
      <c r="V16" s="101" t="str">
        <f t="shared" si="4"/>
        <v/>
      </c>
      <c r="W16" s="102" t="str">
        <f t="shared" si="5"/>
        <v/>
      </c>
      <c r="X16" s="99"/>
      <c r="Y16" s="94"/>
      <c r="Z16" s="100"/>
      <c r="AA16" s="96">
        <f t="shared" si="6"/>
        <v>0</v>
      </c>
      <c r="AB16" s="101" t="str">
        <f t="shared" si="7"/>
        <v/>
      </c>
      <c r="AC16" s="102" t="str">
        <f t="shared" si="8"/>
        <v/>
      </c>
    </row>
    <row r="17" spans="1:29">
      <c r="A17" s="92">
        <v>1</v>
      </c>
      <c r="B17" s="103" t="str">
        <f>[3]!ArticleCode(Art_01.01.)</f>
        <v>01.01.</v>
      </c>
      <c r="C17" s="134" t="str">
        <f>[3]!ArticleDescription(Art_01.01.)</f>
        <v>aannemingsmodaliteiten – bestek</v>
      </c>
      <c r="D17" s="94" t="str">
        <f>[3]!ArticleMeasureType(Art_01.01.)</f>
        <v>PM</v>
      </c>
      <c r="E17" s="94" t="str">
        <f>[3]!ArticleMeasureUnit(Art_01.01.)</f>
        <v/>
      </c>
      <c r="F17" s="104" t="str">
        <f>[3]!ArticleQuantity(Art_01.01.)</f>
        <v/>
      </c>
      <c r="G17" s="94"/>
      <c r="H17" s="96"/>
      <c r="I17" s="96">
        <f t="shared" ref="I17:I23" si="9">IF(RIGHT($D17,1)="-","************",ROUND(IF(NOT(ISNUMBER(G17)),IF(NOT(ISNUMBER(F17)),1,F17),G17)*H17,2))</f>
        <v>0</v>
      </c>
      <c r="J17" s="97"/>
      <c r="K17" s="98"/>
      <c r="L17" s="99"/>
      <c r="M17" s="94"/>
      <c r="N17" s="100"/>
      <c r="O17" s="96">
        <f t="shared" si="0"/>
        <v>0</v>
      </c>
      <c r="P17" s="101" t="str">
        <f t="shared" si="1"/>
        <v/>
      </c>
      <c r="Q17" s="102" t="str">
        <f t="shared" si="2"/>
        <v/>
      </c>
      <c r="R17" s="99"/>
      <c r="S17" s="94"/>
      <c r="T17" s="100"/>
      <c r="U17" s="96">
        <f t="shared" si="3"/>
        <v>0</v>
      </c>
      <c r="V17" s="101" t="str">
        <f t="shared" si="4"/>
        <v/>
      </c>
      <c r="W17" s="102" t="str">
        <f t="shared" si="5"/>
        <v/>
      </c>
      <c r="X17" s="99"/>
      <c r="Y17" s="94"/>
      <c r="Z17" s="100"/>
      <c r="AA17" s="96">
        <f t="shared" si="6"/>
        <v>0</v>
      </c>
      <c r="AB17" s="101" t="str">
        <f t="shared" si="7"/>
        <v/>
      </c>
      <c r="AC17" s="102" t="str">
        <f t="shared" si="8"/>
        <v/>
      </c>
    </row>
    <row r="18" spans="1:29">
      <c r="A18" s="92">
        <f t="shared" ref="A18:A23" si="10">A17+1</f>
        <v>2</v>
      </c>
      <c r="B18" s="103" t="str">
        <f>[3]!ArticleCode(Art_01.02.)</f>
        <v>01.02.</v>
      </c>
      <c r="C18" s="134" t="str">
        <f>[3]!ArticleDescription(Art_01.02.)</f>
        <v>aannemingsmodaliteiten – voorafgaand plaatsbezoek</v>
      </c>
      <c r="D18" s="94" t="str">
        <f>[3]!ArticleMeasureType(Art_01.02.)</f>
        <v>PM</v>
      </c>
      <c r="E18" s="94" t="str">
        <f>[3]!ArticleMeasureUnit(Art_01.02.)</f>
        <v/>
      </c>
      <c r="F18" s="104" t="str">
        <f>[3]!ArticleQuantity(Art_01.02.)</f>
        <v/>
      </c>
      <c r="G18" s="94"/>
      <c r="H18" s="96"/>
      <c r="I18" s="96">
        <f t="shared" si="9"/>
        <v>0</v>
      </c>
      <c r="J18" s="97"/>
      <c r="K18" s="98"/>
      <c r="L18" s="99"/>
      <c r="M18" s="94"/>
      <c r="N18" s="100"/>
      <c r="O18" s="96">
        <f t="shared" si="0"/>
        <v>0</v>
      </c>
      <c r="P18" s="101" t="str">
        <f t="shared" si="1"/>
        <v/>
      </c>
      <c r="Q18" s="102" t="str">
        <f t="shared" si="2"/>
        <v/>
      </c>
      <c r="R18" s="99"/>
      <c r="S18" s="94"/>
      <c r="T18" s="100"/>
      <c r="U18" s="96">
        <f t="shared" si="3"/>
        <v>0</v>
      </c>
      <c r="V18" s="101" t="str">
        <f t="shared" si="4"/>
        <v/>
      </c>
      <c r="W18" s="102" t="str">
        <f t="shared" si="5"/>
        <v/>
      </c>
      <c r="X18" s="99"/>
      <c r="Y18" s="94"/>
      <c r="Z18" s="100"/>
      <c r="AA18" s="96">
        <f t="shared" si="6"/>
        <v>0</v>
      </c>
      <c r="AB18" s="101" t="str">
        <f t="shared" si="7"/>
        <v/>
      </c>
      <c r="AC18" s="102" t="str">
        <f t="shared" si="8"/>
        <v/>
      </c>
    </row>
    <row r="19" spans="1:29">
      <c r="A19" s="92">
        <f t="shared" si="10"/>
        <v>3</v>
      </c>
      <c r="B19" s="103" t="str">
        <f>[3]!ArticleCode(Art_01.03.)</f>
        <v>01.03.</v>
      </c>
      <c r="C19" s="134" t="str">
        <f>[3]!ArticleDescription(Art_01.03.)</f>
        <v>aannemingsmodaliteiten – burgerlijke aansprakelijkheid</v>
      </c>
      <c r="D19" s="94" t="str">
        <f>[3]!ArticleMeasureType(Art_01.03.)</f>
        <v>PM</v>
      </c>
      <c r="E19" s="94" t="str">
        <f>[3]!ArticleMeasureUnit(Art_01.03.)</f>
        <v/>
      </c>
      <c r="F19" s="104" t="str">
        <f>[3]!ArticleQuantity(Art_01.03.)</f>
        <v/>
      </c>
      <c r="G19" s="94"/>
      <c r="H19" s="96"/>
      <c r="I19" s="96">
        <f t="shared" si="9"/>
        <v>0</v>
      </c>
      <c r="J19" s="97"/>
      <c r="K19" s="98"/>
      <c r="L19" s="99"/>
      <c r="M19" s="94"/>
      <c r="N19" s="100"/>
      <c r="O19" s="96">
        <f t="shared" si="0"/>
        <v>0</v>
      </c>
      <c r="P19" s="101" t="str">
        <f t="shared" si="1"/>
        <v/>
      </c>
      <c r="Q19" s="102" t="str">
        <f t="shared" si="2"/>
        <v/>
      </c>
      <c r="R19" s="99"/>
      <c r="S19" s="94"/>
      <c r="T19" s="100"/>
      <c r="U19" s="96">
        <f t="shared" si="3"/>
        <v>0</v>
      </c>
      <c r="V19" s="101" t="str">
        <f t="shared" si="4"/>
        <v/>
      </c>
      <c r="W19" s="102" t="str">
        <f t="shared" si="5"/>
        <v/>
      </c>
      <c r="X19" s="99"/>
      <c r="Y19" s="94"/>
      <c r="Z19" s="100"/>
      <c r="AA19" s="96">
        <f t="shared" si="6"/>
        <v>0</v>
      </c>
      <c r="AB19" s="101" t="str">
        <f t="shared" si="7"/>
        <v/>
      </c>
      <c r="AC19" s="102" t="str">
        <f t="shared" si="8"/>
        <v/>
      </c>
    </row>
    <row r="20" spans="1:29">
      <c r="A20" s="92">
        <f t="shared" si="10"/>
        <v>4</v>
      </c>
      <c r="B20" s="103" t="str">
        <f>[3]!ArticleCode(Art_01.04.)</f>
        <v>01.04.</v>
      </c>
      <c r="C20" s="134" t="str">
        <f>[3]!ArticleDescription(Art_01.04.)</f>
        <v>aannemingsmodaliteiten – volledigheid van inschrijving</v>
      </c>
      <c r="D20" s="94" t="str">
        <f>[3]!ArticleMeasureType(Art_01.04.)</f>
        <v>PM</v>
      </c>
      <c r="E20" s="94" t="str">
        <f>[3]!ArticleMeasureUnit(Art_01.04.)</f>
        <v/>
      </c>
      <c r="F20" s="104" t="str">
        <f>[3]!ArticleQuantity(Art_01.04.)</f>
        <v/>
      </c>
      <c r="G20" s="94"/>
      <c r="H20" s="96"/>
      <c r="I20" s="96">
        <f t="shared" si="9"/>
        <v>0</v>
      </c>
      <c r="J20" s="97"/>
      <c r="K20" s="98"/>
      <c r="L20" s="99"/>
      <c r="M20" s="94"/>
      <c r="N20" s="100"/>
      <c r="O20" s="96">
        <f t="shared" si="0"/>
        <v>0</v>
      </c>
      <c r="P20" s="101" t="str">
        <f t="shared" si="1"/>
        <v/>
      </c>
      <c r="Q20" s="102" t="str">
        <f t="shared" si="2"/>
        <v/>
      </c>
      <c r="R20" s="99"/>
      <c r="S20" s="94"/>
      <c r="T20" s="100"/>
      <c r="U20" s="96">
        <f t="shared" si="3"/>
        <v>0</v>
      </c>
      <c r="V20" s="101" t="str">
        <f t="shared" si="4"/>
        <v/>
      </c>
      <c r="W20" s="102" t="str">
        <f t="shared" si="5"/>
        <v/>
      </c>
      <c r="X20" s="99"/>
      <c r="Y20" s="94"/>
      <c r="Z20" s="100"/>
      <c r="AA20" s="96">
        <f t="shared" si="6"/>
        <v>0</v>
      </c>
      <c r="AB20" s="101" t="str">
        <f t="shared" si="7"/>
        <v/>
      </c>
      <c r="AC20" s="102" t="str">
        <f t="shared" si="8"/>
        <v/>
      </c>
    </row>
    <row r="21" spans="1:29">
      <c r="A21" s="92">
        <f t="shared" si="10"/>
        <v>5</v>
      </c>
      <c r="B21" s="103" t="str">
        <f>[3]!ArticleCode(Art_01.05.)</f>
        <v>01.05.</v>
      </c>
      <c r="C21" s="134" t="str">
        <f>[3]!ArticleDescription(Art_01.05.)</f>
        <v>aannemingsmodaliteiten – onderaanneming</v>
      </c>
      <c r="D21" s="94" t="str">
        <f>[3]!ArticleMeasureType(Art_01.05.)</f>
        <v>PM</v>
      </c>
      <c r="E21" s="94" t="str">
        <f>[3]!ArticleMeasureUnit(Art_01.05.)</f>
        <v/>
      </c>
      <c r="F21" s="104" t="str">
        <f>[3]!ArticleQuantity(Art_01.05.)</f>
        <v/>
      </c>
      <c r="G21" s="94"/>
      <c r="H21" s="96"/>
      <c r="I21" s="96">
        <f t="shared" si="9"/>
        <v>0</v>
      </c>
      <c r="J21" s="97"/>
      <c r="K21" s="98"/>
      <c r="L21" s="99"/>
      <c r="M21" s="94"/>
      <c r="N21" s="100"/>
      <c r="O21" s="96">
        <f t="shared" si="0"/>
        <v>0</v>
      </c>
      <c r="P21" s="101" t="str">
        <f t="shared" si="1"/>
        <v/>
      </c>
      <c r="Q21" s="102" t="str">
        <f t="shared" si="2"/>
        <v/>
      </c>
      <c r="R21" s="99"/>
      <c r="S21" s="94"/>
      <c r="T21" s="100"/>
      <c r="U21" s="96">
        <f t="shared" si="3"/>
        <v>0</v>
      </c>
      <c r="V21" s="101" t="str">
        <f t="shared" si="4"/>
        <v/>
      </c>
      <c r="W21" s="102" t="str">
        <f t="shared" si="5"/>
        <v/>
      </c>
      <c r="X21" s="99"/>
      <c r="Y21" s="94"/>
      <c r="Z21" s="100"/>
      <c r="AA21" s="96">
        <f t="shared" si="6"/>
        <v>0</v>
      </c>
      <c r="AB21" s="101" t="str">
        <f t="shared" si="7"/>
        <v/>
      </c>
      <c r="AC21" s="102" t="str">
        <f t="shared" si="8"/>
        <v/>
      </c>
    </row>
    <row r="22" spans="1:29">
      <c r="A22" s="92">
        <f t="shared" si="10"/>
        <v>6</v>
      </c>
      <c r="B22" s="103" t="str">
        <f>[3]!ArticleCode(Art_01.06.)</f>
        <v>01.06.</v>
      </c>
      <c r="C22" s="134" t="str">
        <f>[3]!ArticleDescription(Art_01.06.)</f>
        <v>aannemingsmodaliteiten – verrekeningen</v>
      </c>
      <c r="D22" s="94" t="str">
        <f>[3]!ArticleMeasureType(Art_01.06.)</f>
        <v>PM</v>
      </c>
      <c r="E22" s="94" t="str">
        <f>[3]!ArticleMeasureUnit(Art_01.06.)</f>
        <v/>
      </c>
      <c r="F22" s="104" t="str">
        <f>[3]!ArticleQuantity(Art_01.06.)</f>
        <v/>
      </c>
      <c r="G22" s="94"/>
      <c r="H22" s="96"/>
      <c r="I22" s="96">
        <f t="shared" si="9"/>
        <v>0</v>
      </c>
      <c r="J22" s="97"/>
      <c r="K22" s="98"/>
      <c r="L22" s="99"/>
      <c r="M22" s="94"/>
      <c r="N22" s="100"/>
      <c r="O22" s="96">
        <f t="shared" si="0"/>
        <v>0</v>
      </c>
      <c r="P22" s="101" t="str">
        <f t="shared" si="1"/>
        <v/>
      </c>
      <c r="Q22" s="102" t="str">
        <f t="shared" si="2"/>
        <v/>
      </c>
      <c r="R22" s="99"/>
      <c r="S22" s="94"/>
      <c r="T22" s="100"/>
      <c r="U22" s="96">
        <f t="shared" si="3"/>
        <v>0</v>
      </c>
      <c r="V22" s="101" t="str">
        <f t="shared" si="4"/>
        <v/>
      </c>
      <c r="W22" s="102" t="str">
        <f t="shared" si="5"/>
        <v/>
      </c>
      <c r="X22" s="99"/>
      <c r="Y22" s="94"/>
      <c r="Z22" s="100"/>
      <c r="AA22" s="96">
        <f t="shared" si="6"/>
        <v>0</v>
      </c>
      <c r="AB22" s="101" t="str">
        <f t="shared" si="7"/>
        <v/>
      </c>
      <c r="AC22" s="102" t="str">
        <f t="shared" si="8"/>
        <v/>
      </c>
    </row>
    <row r="23" spans="1:29">
      <c r="A23" s="92">
        <f t="shared" si="10"/>
        <v>7</v>
      </c>
      <c r="B23" s="103" t="str">
        <f>[3]!ArticleCode(Art_01.08.)</f>
        <v>01.08.</v>
      </c>
      <c r="C23" s="134" t="str">
        <f>[3]!ArticleDescription(Art_01.08.)</f>
        <v>aannemingsmodaliteiten – materialenlijst</v>
      </c>
      <c r="D23" s="94" t="str">
        <f>[3]!ArticleMeasureType(Art_01.08.)</f>
        <v>PM</v>
      </c>
      <c r="E23" s="94" t="str">
        <f>[3]!ArticleMeasureUnit(Art_01.08.)</f>
        <v/>
      </c>
      <c r="F23" s="104" t="str">
        <f>[3]!ArticleQuantity(Art_01.08.)</f>
        <v/>
      </c>
      <c r="G23" s="94"/>
      <c r="H23" s="96"/>
      <c r="I23" s="96">
        <f t="shared" si="9"/>
        <v>0</v>
      </c>
      <c r="J23" s="97"/>
      <c r="K23" s="98"/>
      <c r="L23" s="99"/>
      <c r="M23" s="94"/>
      <c r="N23" s="100"/>
      <c r="O23" s="96">
        <f t="shared" si="0"/>
        <v>0</v>
      </c>
      <c r="P23" s="101" t="str">
        <f t="shared" si="1"/>
        <v/>
      </c>
      <c r="Q23" s="102" t="str">
        <f t="shared" si="2"/>
        <v/>
      </c>
      <c r="R23" s="99"/>
      <c r="S23" s="94"/>
      <c r="T23" s="100"/>
      <c r="U23" s="96">
        <f t="shared" si="3"/>
        <v>0</v>
      </c>
      <c r="V23" s="101" t="str">
        <f t="shared" si="4"/>
        <v/>
      </c>
      <c r="W23" s="102" t="str">
        <f t="shared" si="5"/>
        <v/>
      </c>
      <c r="X23" s="99"/>
      <c r="Y23" s="94"/>
      <c r="Z23" s="100"/>
      <c r="AA23" s="96">
        <f t="shared" si="6"/>
        <v>0</v>
      </c>
      <c r="AB23" s="101" t="str">
        <f t="shared" si="7"/>
        <v/>
      </c>
      <c r="AC23" s="102" t="str">
        <f t="shared" si="8"/>
        <v/>
      </c>
    </row>
    <row r="24" spans="1:29">
      <c r="A24" s="92"/>
      <c r="B24" s="103" t="str">
        <f>[3]!ArticleCode(Art_01.20.)</f>
        <v>01.20.</v>
      </c>
      <c r="C24" s="134" t="str">
        <f>[3]!ArticleDescription(Art_01.20.)</f>
        <v>werfcoördinatie – algemeen</v>
      </c>
      <c r="D24" s="94"/>
      <c r="E24" s="94"/>
      <c r="F24" s="94"/>
      <c r="G24" s="94"/>
      <c r="H24" s="96"/>
      <c r="I24" s="96"/>
      <c r="J24" s="97"/>
      <c r="K24" s="98"/>
      <c r="L24" s="99"/>
      <c r="M24" s="94"/>
      <c r="N24" s="100"/>
      <c r="O24" s="96">
        <f t="shared" si="0"/>
        <v>0</v>
      </c>
      <c r="P24" s="101" t="str">
        <f t="shared" si="1"/>
        <v/>
      </c>
      <c r="Q24" s="102" t="str">
        <f t="shared" si="2"/>
        <v/>
      </c>
      <c r="R24" s="99"/>
      <c r="S24" s="94"/>
      <c r="T24" s="100"/>
      <c r="U24" s="96">
        <f t="shared" si="3"/>
        <v>0</v>
      </c>
      <c r="V24" s="101" t="str">
        <f t="shared" si="4"/>
        <v/>
      </c>
      <c r="W24" s="102" t="str">
        <f t="shared" si="5"/>
        <v/>
      </c>
      <c r="X24" s="99"/>
      <c r="Y24" s="94"/>
      <c r="Z24" s="100"/>
      <c r="AA24" s="96">
        <f t="shared" si="6"/>
        <v>0</v>
      </c>
      <c r="AB24" s="101" t="str">
        <f t="shared" si="7"/>
        <v/>
      </c>
      <c r="AC24" s="102" t="str">
        <f t="shared" si="8"/>
        <v/>
      </c>
    </row>
    <row r="25" spans="1:29">
      <c r="A25" s="92">
        <f>A23+1</f>
        <v>8</v>
      </c>
      <c r="B25" s="103" t="str">
        <f>[3]!ArticleCode(Art_01.21.)</f>
        <v>01.21.</v>
      </c>
      <c r="C25" s="134" t="str">
        <f>[3]!ArticleDescription(Art_01.21.)</f>
        <v>werfcoördinatie – planning van de werken</v>
      </c>
      <c r="D25" s="94" t="str">
        <f>[3]!ArticleMeasureType(Art_01.21.)</f>
        <v>PM</v>
      </c>
      <c r="E25" s="94" t="str">
        <f>[3]!ArticleMeasureUnit(Art_01.21.)</f>
        <v/>
      </c>
      <c r="F25" s="104" t="str">
        <f>[3]!ArticleQuantity(Art_01.21.)</f>
        <v/>
      </c>
      <c r="G25" s="94"/>
      <c r="H25" s="96"/>
      <c r="I25" s="96">
        <f>IF(RIGHT($D25,1)="-","************",ROUND(IF(NOT(ISNUMBER(G25)),IF(NOT(ISNUMBER(F25)),1,F25),G25)*H25,2))</f>
        <v>0</v>
      </c>
      <c r="J25" s="97"/>
      <c r="K25" s="98"/>
      <c r="L25" s="99"/>
      <c r="M25" s="94"/>
      <c r="N25" s="100"/>
      <c r="O25" s="96">
        <f t="shared" si="0"/>
        <v>0</v>
      </c>
      <c r="P25" s="101" t="str">
        <f t="shared" si="1"/>
        <v/>
      </c>
      <c r="Q25" s="102" t="str">
        <f t="shared" si="2"/>
        <v/>
      </c>
      <c r="R25" s="99"/>
      <c r="S25" s="94"/>
      <c r="T25" s="100"/>
      <c r="U25" s="96">
        <f t="shared" si="3"/>
        <v>0</v>
      </c>
      <c r="V25" s="101" t="str">
        <f t="shared" si="4"/>
        <v/>
      </c>
      <c r="W25" s="102" t="str">
        <f t="shared" si="5"/>
        <v/>
      </c>
      <c r="X25" s="99"/>
      <c r="Y25" s="94"/>
      <c r="Z25" s="100"/>
      <c r="AA25" s="96">
        <f t="shared" si="6"/>
        <v>0</v>
      </c>
      <c r="AB25" s="101" t="str">
        <f t="shared" si="7"/>
        <v/>
      </c>
      <c r="AC25" s="102" t="str">
        <f t="shared" si="8"/>
        <v/>
      </c>
    </row>
    <row r="26" spans="1:29">
      <c r="A26" s="92">
        <f>A25+1</f>
        <v>9</v>
      </c>
      <c r="B26" s="103" t="str">
        <f>[3]!ArticleCode(Art_01.22.)</f>
        <v>01.22.</v>
      </c>
      <c r="C26" s="134" t="str">
        <f>[3]!ArticleDescription(Art_01.22.)</f>
        <v>werfcoördinatie – werfleiding en controle</v>
      </c>
      <c r="D26" s="94" t="str">
        <f>[3]!ArticleMeasureType(Art_01.22.)</f>
        <v>PM</v>
      </c>
      <c r="E26" s="94" t="str">
        <f>[3]!ArticleMeasureUnit(Art_01.22.)</f>
        <v/>
      </c>
      <c r="F26" s="104" t="str">
        <f>[3]!ArticleQuantity(Art_01.22.)</f>
        <v/>
      </c>
      <c r="G26" s="94"/>
      <c r="H26" s="96"/>
      <c r="I26" s="96">
        <f>IF(RIGHT($D26,1)="-","************",ROUND(IF(NOT(ISNUMBER(G26)),IF(NOT(ISNUMBER(F26)),1,F26),G26)*H26,2))</f>
        <v>0</v>
      </c>
      <c r="J26" s="97"/>
      <c r="K26" s="98"/>
      <c r="L26" s="99"/>
      <c r="M26" s="94"/>
      <c r="N26" s="100"/>
      <c r="O26" s="96">
        <f t="shared" si="0"/>
        <v>0</v>
      </c>
      <c r="P26" s="101" t="str">
        <f t="shared" si="1"/>
        <v/>
      </c>
      <c r="Q26" s="102" t="str">
        <f t="shared" si="2"/>
        <v/>
      </c>
      <c r="R26" s="99"/>
      <c r="S26" s="94"/>
      <c r="T26" s="100"/>
      <c r="U26" s="96">
        <f t="shared" si="3"/>
        <v>0</v>
      </c>
      <c r="V26" s="101" t="str">
        <f t="shared" si="4"/>
        <v/>
      </c>
      <c r="W26" s="102" t="str">
        <f t="shared" si="5"/>
        <v/>
      </c>
      <c r="X26" s="99"/>
      <c r="Y26" s="94"/>
      <c r="Z26" s="100"/>
      <c r="AA26" s="96">
        <f t="shared" si="6"/>
        <v>0</v>
      </c>
      <c r="AB26" s="101" t="str">
        <f t="shared" si="7"/>
        <v/>
      </c>
      <c r="AC26" s="102" t="str">
        <f t="shared" si="8"/>
        <v/>
      </c>
    </row>
    <row r="27" spans="1:29">
      <c r="A27" s="92">
        <f>A26+1</f>
        <v>10</v>
      </c>
      <c r="B27" s="103" t="str">
        <f>[3]!ArticleCode(Art_01.23.)</f>
        <v>01.23.</v>
      </c>
      <c r="C27" s="134" t="str">
        <f>[3]!ArticleDescription(Art_01.23.)</f>
        <v>werfcoördinatie – werfvergaderingen</v>
      </c>
      <c r="D27" s="94" t="str">
        <f>[3]!ArticleMeasureType(Art_01.23.)</f>
        <v>PM</v>
      </c>
      <c r="E27" s="94" t="str">
        <f>[3]!ArticleMeasureUnit(Art_01.23.)</f>
        <v/>
      </c>
      <c r="F27" s="104" t="str">
        <f>[3]!ArticleQuantity(Art_01.23.)</f>
        <v/>
      </c>
      <c r="G27" s="94"/>
      <c r="H27" s="96"/>
      <c r="I27" s="96">
        <f>IF(RIGHT($D27,1)="-","************",ROUND(IF(NOT(ISNUMBER(G27)),IF(NOT(ISNUMBER(F27)),1,F27),G27)*H27,2))</f>
        <v>0</v>
      </c>
      <c r="J27" s="97"/>
      <c r="K27" s="98"/>
      <c r="L27" s="99"/>
      <c r="M27" s="94"/>
      <c r="N27" s="100"/>
      <c r="O27" s="96">
        <f t="shared" si="0"/>
        <v>0</v>
      </c>
      <c r="P27" s="101" t="str">
        <f t="shared" si="1"/>
        <v/>
      </c>
      <c r="Q27" s="102" t="str">
        <f t="shared" si="2"/>
        <v/>
      </c>
      <c r="R27" s="99"/>
      <c r="S27" s="94"/>
      <c r="T27" s="100"/>
      <c r="U27" s="96">
        <f t="shared" si="3"/>
        <v>0</v>
      </c>
      <c r="V27" s="101" t="str">
        <f t="shared" si="4"/>
        <v/>
      </c>
      <c r="W27" s="102" t="str">
        <f t="shared" si="5"/>
        <v/>
      </c>
      <c r="X27" s="99"/>
      <c r="Y27" s="94"/>
      <c r="Z27" s="100"/>
      <c r="AA27" s="96">
        <f t="shared" si="6"/>
        <v>0</v>
      </c>
      <c r="AB27" s="101" t="str">
        <f t="shared" si="7"/>
        <v/>
      </c>
      <c r="AC27" s="102" t="str">
        <f t="shared" si="8"/>
        <v/>
      </c>
    </row>
    <row r="28" spans="1:29">
      <c r="A28" s="92">
        <f>A27+1</f>
        <v>11</v>
      </c>
      <c r="B28" s="103" t="str">
        <f>[3]!ArticleCode(Art_01.25.)</f>
        <v>01.25.</v>
      </c>
      <c r="C28" s="134" t="str">
        <f>[3]!ArticleDescription(Art_01.25.)</f>
        <v>werfcoördinatie – as-builtdossier</v>
      </c>
      <c r="D28" s="94" t="str">
        <f>[3]!ArticleMeasureType(Art_01.25.)</f>
        <v>PM</v>
      </c>
      <c r="E28" s="94" t="str">
        <f>[3]!ArticleMeasureUnit(Art_01.25.)</f>
        <v/>
      </c>
      <c r="F28" s="104" t="str">
        <f>[3]!ArticleQuantity(Art_01.25.)</f>
        <v/>
      </c>
      <c r="G28" s="94"/>
      <c r="H28" s="96"/>
      <c r="I28" s="96">
        <f>IF(RIGHT($D28,1)="-","************",ROUND(IF(NOT(ISNUMBER(G28)),IF(NOT(ISNUMBER(F28)),1,F28),G28)*H28,2))</f>
        <v>0</v>
      </c>
      <c r="J28" s="97"/>
      <c r="K28" s="98"/>
      <c r="L28" s="99"/>
      <c r="M28" s="94"/>
      <c r="N28" s="100"/>
      <c r="O28" s="96">
        <f t="shared" si="0"/>
        <v>0</v>
      </c>
      <c r="P28" s="101" t="str">
        <f t="shared" si="1"/>
        <v/>
      </c>
      <c r="Q28" s="102" t="str">
        <f t="shared" si="2"/>
        <v/>
      </c>
      <c r="R28" s="99"/>
      <c r="S28" s="94"/>
      <c r="T28" s="100"/>
      <c r="U28" s="96">
        <f t="shared" si="3"/>
        <v>0</v>
      </c>
      <c r="V28" s="101" t="str">
        <f t="shared" si="4"/>
        <v/>
      </c>
      <c r="W28" s="102" t="str">
        <f t="shared" si="5"/>
        <v/>
      </c>
      <c r="X28" s="99"/>
      <c r="Y28" s="94"/>
      <c r="Z28" s="100"/>
      <c r="AA28" s="96">
        <f t="shared" si="6"/>
        <v>0</v>
      </c>
      <c r="AB28" s="101" t="str">
        <f t="shared" si="7"/>
        <v/>
      </c>
      <c r="AC28" s="102" t="str">
        <f t="shared" si="8"/>
        <v/>
      </c>
    </row>
    <row r="29" spans="1:29">
      <c r="A29" s="92"/>
      <c r="B29" s="103" t="str">
        <f>[3]!ArticleCode(Art_01.30.)</f>
        <v>01.30.</v>
      </c>
      <c r="C29" s="134" t="str">
        <f>[3]!ArticleDescription(Art_01.30.)</f>
        <v>werfcondities – algemeen</v>
      </c>
      <c r="D29" s="94"/>
      <c r="E29" s="94"/>
      <c r="F29" s="94"/>
      <c r="G29" s="94"/>
      <c r="H29" s="96"/>
      <c r="I29" s="96"/>
      <c r="J29" s="97"/>
      <c r="K29" s="98"/>
      <c r="L29" s="99"/>
      <c r="M29" s="94"/>
      <c r="N29" s="100"/>
      <c r="O29" s="96">
        <f t="shared" si="0"/>
        <v>0</v>
      </c>
      <c r="P29" s="101" t="str">
        <f t="shared" si="1"/>
        <v/>
      </c>
      <c r="Q29" s="102" t="str">
        <f t="shared" si="2"/>
        <v/>
      </c>
      <c r="R29" s="99"/>
      <c r="S29" s="94"/>
      <c r="T29" s="100"/>
      <c r="U29" s="96">
        <f t="shared" si="3"/>
        <v>0</v>
      </c>
      <c r="V29" s="101" t="str">
        <f t="shared" si="4"/>
        <v/>
      </c>
      <c r="W29" s="102" t="str">
        <f t="shared" si="5"/>
        <v/>
      </c>
      <c r="X29" s="99"/>
      <c r="Y29" s="94"/>
      <c r="Z29" s="100"/>
      <c r="AA29" s="96">
        <f t="shared" si="6"/>
        <v>0</v>
      </c>
      <c r="AB29" s="101" t="str">
        <f t="shared" si="7"/>
        <v/>
      </c>
      <c r="AC29" s="102" t="str">
        <f t="shared" si="8"/>
        <v/>
      </c>
    </row>
    <row r="30" spans="1:29">
      <c r="A30" s="92">
        <f>A28+1</f>
        <v>12</v>
      </c>
      <c r="B30" s="103" t="str">
        <f>[3]!ArticleCode(Art_01.31.)</f>
        <v>01.31.</v>
      </c>
      <c r="C30" s="134" t="str">
        <f>[3]!ArticleDescription(Art_01.31.)</f>
        <v>werfcondities – orde en netheid</v>
      </c>
      <c r="D30" s="94" t="str">
        <f>[3]!ArticleMeasureType(Art_01.31.)</f>
        <v>PM</v>
      </c>
      <c r="E30" s="94" t="str">
        <f>[3]!ArticleMeasureUnit(Art_01.31.)</f>
        <v/>
      </c>
      <c r="F30" s="104" t="str">
        <f>[3]!ArticleQuantity(Art_01.31.)</f>
        <v/>
      </c>
      <c r="G30" s="94"/>
      <c r="H30" s="96"/>
      <c r="I30" s="96">
        <f>IF(RIGHT($D30,1)="-","************",ROUND(IF(NOT(ISNUMBER(G30)),IF(NOT(ISNUMBER(F30)),1,F30),G30)*H30,2))</f>
        <v>0</v>
      </c>
      <c r="J30" s="97"/>
      <c r="K30" s="98"/>
      <c r="L30" s="99"/>
      <c r="M30" s="94"/>
      <c r="N30" s="100"/>
      <c r="O30" s="96">
        <f t="shared" si="0"/>
        <v>0</v>
      </c>
      <c r="P30" s="101" t="str">
        <f t="shared" si="1"/>
        <v/>
      </c>
      <c r="Q30" s="102" t="str">
        <f t="shared" si="2"/>
        <v/>
      </c>
      <c r="R30" s="99"/>
      <c r="S30" s="94"/>
      <c r="T30" s="100"/>
      <c r="U30" s="96">
        <f t="shared" si="3"/>
        <v>0</v>
      </c>
      <c r="V30" s="101" t="str">
        <f t="shared" si="4"/>
        <v/>
      </c>
      <c r="W30" s="102" t="str">
        <f t="shared" si="5"/>
        <v/>
      </c>
      <c r="X30" s="99"/>
      <c r="Y30" s="94"/>
      <c r="Z30" s="100"/>
      <c r="AA30" s="96">
        <f t="shared" si="6"/>
        <v>0</v>
      </c>
      <c r="AB30" s="101" t="str">
        <f t="shared" si="7"/>
        <v/>
      </c>
      <c r="AC30" s="102" t="str">
        <f t="shared" si="8"/>
        <v/>
      </c>
    </row>
    <row r="31" spans="1:29">
      <c r="A31" s="92">
        <f>A30+1</f>
        <v>13</v>
      </c>
      <c r="B31" s="103" t="str">
        <f>[3]!ArticleCode(Art_01.32.)</f>
        <v>01.32.</v>
      </c>
      <c r="C31" s="134" t="str">
        <f>[3]!ArticleDescription(Art_01.32.)</f>
        <v>werfcondities – geluids- en stofhinder</v>
      </c>
      <c r="D31" s="94" t="str">
        <f>[3]!ArticleMeasureType(Art_01.32.)</f>
        <v>PM</v>
      </c>
      <c r="E31" s="94" t="str">
        <f>[3]!ArticleMeasureUnit(Art_01.32.)</f>
        <v/>
      </c>
      <c r="F31" s="104" t="str">
        <f>[3]!ArticleQuantity(Art_01.32.)</f>
        <v/>
      </c>
      <c r="G31" s="94"/>
      <c r="H31" s="96"/>
      <c r="I31" s="96">
        <f>IF(RIGHT($D31,1)="-","************",ROUND(IF(NOT(ISNUMBER(G31)),IF(NOT(ISNUMBER(F31)),1,F31),G31)*H31,2))</f>
        <v>0</v>
      </c>
      <c r="J31" s="97"/>
      <c r="K31" s="98"/>
      <c r="L31" s="99"/>
      <c r="M31" s="94"/>
      <c r="N31" s="100"/>
      <c r="O31" s="96">
        <f t="shared" si="0"/>
        <v>0</v>
      </c>
      <c r="P31" s="101" t="str">
        <f t="shared" si="1"/>
        <v/>
      </c>
      <c r="Q31" s="102" t="str">
        <f t="shared" si="2"/>
        <v/>
      </c>
      <c r="R31" s="99"/>
      <c r="S31" s="94"/>
      <c r="T31" s="100"/>
      <c r="U31" s="96">
        <f t="shared" si="3"/>
        <v>0</v>
      </c>
      <c r="V31" s="101" t="str">
        <f t="shared" si="4"/>
        <v/>
      </c>
      <c r="W31" s="102" t="str">
        <f t="shared" si="5"/>
        <v/>
      </c>
      <c r="X31" s="99"/>
      <c r="Y31" s="94"/>
      <c r="Z31" s="100"/>
      <c r="AA31" s="96">
        <f t="shared" si="6"/>
        <v>0</v>
      </c>
      <c r="AB31" s="101" t="str">
        <f t="shared" si="7"/>
        <v/>
      </c>
      <c r="AC31" s="102" t="str">
        <f t="shared" si="8"/>
        <v/>
      </c>
    </row>
    <row r="32" spans="1:29">
      <c r="A32" s="92">
        <f>A31+1</f>
        <v>14</v>
      </c>
      <c r="B32" s="103" t="str">
        <f>[3]!ArticleCode(Art_01.33.)</f>
        <v>01.33.</v>
      </c>
      <c r="C32" s="134" t="str">
        <f>[3]!ArticleDescription(Art_01.33.)</f>
        <v>werfcondities – nazorg</v>
      </c>
      <c r="D32" s="94" t="str">
        <f>[3]!ArticleMeasureType(Art_01.33.)</f>
        <v>PM</v>
      </c>
      <c r="E32" s="94" t="str">
        <f>[3]!ArticleMeasureUnit(Art_01.33.)</f>
        <v/>
      </c>
      <c r="F32" s="104" t="str">
        <f>[3]!ArticleQuantity(Art_01.33.)</f>
        <v/>
      </c>
      <c r="G32" s="94"/>
      <c r="H32" s="96"/>
      <c r="I32" s="96">
        <f>IF(RIGHT($D32,1)="-","************",ROUND(IF(NOT(ISNUMBER(G32)),IF(NOT(ISNUMBER(F32)),1,F32),G32)*H32,2))</f>
        <v>0</v>
      </c>
      <c r="J32" s="97"/>
      <c r="K32" s="98"/>
      <c r="L32" s="99"/>
      <c r="M32" s="94"/>
      <c r="N32" s="100"/>
      <c r="O32" s="96">
        <f t="shared" si="0"/>
        <v>0</v>
      </c>
      <c r="P32" s="101" t="str">
        <f t="shared" si="1"/>
        <v/>
      </c>
      <c r="Q32" s="102" t="str">
        <f t="shared" si="2"/>
        <v/>
      </c>
      <c r="R32" s="99"/>
      <c r="S32" s="94"/>
      <c r="T32" s="100"/>
      <c r="U32" s="96">
        <f t="shared" si="3"/>
        <v>0</v>
      </c>
      <c r="V32" s="101" t="str">
        <f t="shared" si="4"/>
        <v/>
      </c>
      <c r="W32" s="102" t="str">
        <f t="shared" si="5"/>
        <v/>
      </c>
      <c r="X32" s="99"/>
      <c r="Y32" s="94"/>
      <c r="Z32" s="100"/>
      <c r="AA32" s="96">
        <f t="shared" si="6"/>
        <v>0</v>
      </c>
      <c r="AB32" s="101" t="str">
        <f t="shared" si="7"/>
        <v/>
      </c>
      <c r="AC32" s="102" t="str">
        <f t="shared" si="8"/>
        <v/>
      </c>
    </row>
    <row r="33" spans="1:29">
      <c r="A33" s="92">
        <f>A32+1</f>
        <v>15</v>
      </c>
      <c r="B33" s="103" t="str">
        <f>[3]!ArticleCode(Art_01.40.)</f>
        <v>01.40.</v>
      </c>
      <c r="C33" s="134" t="str">
        <f>[3]!ArticleDescription(Art_01.40.)</f>
        <v>veiligheidsvoorschriften – algemeen</v>
      </c>
      <c r="D33" s="94" t="str">
        <f>[3]!ArticleMeasureType(Art_01.40.)</f>
        <v>SOG</v>
      </c>
      <c r="E33" s="94" t="str">
        <f>[3]!ArticleMeasureUnit(Art_01.40.)</f>
        <v/>
      </c>
      <c r="F33" s="104" t="str">
        <f>[3]!ArticleQuantity(Art_01.40.)</f>
        <v/>
      </c>
      <c r="G33" s="94"/>
      <c r="H33" s="96"/>
      <c r="I33" s="96">
        <f>IF(RIGHT($D33,1)="-","************",ROUND(IF(NOT(ISNUMBER(G33)),IF(NOT(ISNUMBER(F33)),1,F33),G33)*H33,2))</f>
        <v>0</v>
      </c>
      <c r="J33" s="97"/>
      <c r="K33" s="98"/>
      <c r="L33" s="99"/>
      <c r="M33" s="94"/>
      <c r="N33" s="100"/>
      <c r="O33" s="96">
        <f t="shared" si="0"/>
        <v>0</v>
      </c>
      <c r="P33" s="101" t="str">
        <f t="shared" si="1"/>
        <v/>
      </c>
      <c r="Q33" s="102" t="str">
        <f t="shared" si="2"/>
        <v/>
      </c>
      <c r="R33" s="99"/>
      <c r="S33" s="94"/>
      <c r="T33" s="100"/>
      <c r="U33" s="96">
        <f t="shared" si="3"/>
        <v>0</v>
      </c>
      <c r="V33" s="101" t="str">
        <f t="shared" si="4"/>
        <v/>
      </c>
      <c r="W33" s="102" t="str">
        <f t="shared" si="5"/>
        <v/>
      </c>
      <c r="X33" s="99"/>
      <c r="Y33" s="94"/>
      <c r="Z33" s="100"/>
      <c r="AA33" s="96">
        <f t="shared" si="6"/>
        <v>0</v>
      </c>
      <c r="AB33" s="101" t="str">
        <f t="shared" si="7"/>
        <v/>
      </c>
      <c r="AC33" s="102" t="str">
        <f t="shared" si="8"/>
        <v/>
      </c>
    </row>
    <row r="34" spans="1:29">
      <c r="A34" s="92"/>
      <c r="B34" s="105"/>
      <c r="C34" s="106"/>
      <c r="D34" s="107"/>
      <c r="E34" s="106"/>
      <c r="F34" s="106"/>
      <c r="G34" s="106"/>
      <c r="H34" s="108"/>
      <c r="I34" s="108"/>
      <c r="J34" s="109">
        <f>SUBTOTAL(9,I15:I33)</f>
        <v>0</v>
      </c>
      <c r="K34" s="98"/>
      <c r="L34" s="99"/>
      <c r="M34" s="94"/>
      <c r="N34" s="100"/>
      <c r="O34" s="96">
        <f t="shared" si="0"/>
        <v>0</v>
      </c>
      <c r="P34" s="101" t="str">
        <f t="shared" si="1"/>
        <v/>
      </c>
      <c r="Q34" s="102" t="str">
        <f t="shared" si="2"/>
        <v/>
      </c>
      <c r="R34" s="99"/>
      <c r="S34" s="94"/>
      <c r="T34" s="100"/>
      <c r="U34" s="96">
        <f t="shared" si="3"/>
        <v>0</v>
      </c>
      <c r="V34" s="101" t="str">
        <f t="shared" si="4"/>
        <v/>
      </c>
      <c r="W34" s="102" t="str">
        <f t="shared" si="5"/>
        <v/>
      </c>
      <c r="X34" s="99"/>
      <c r="Y34" s="94"/>
      <c r="Z34" s="100"/>
      <c r="AA34" s="96">
        <f t="shared" si="6"/>
        <v>0</v>
      </c>
      <c r="AB34" s="101" t="str">
        <f t="shared" si="7"/>
        <v/>
      </c>
      <c r="AC34" s="102" t="str">
        <f t="shared" si="8"/>
        <v/>
      </c>
    </row>
    <row r="35" spans="1:29">
      <c r="A35" s="92"/>
      <c r="B35" s="110"/>
      <c r="C35" s="94"/>
      <c r="D35" s="94"/>
      <c r="E35" s="94"/>
      <c r="F35" s="94"/>
      <c r="G35" s="94"/>
      <c r="H35" s="96"/>
      <c r="I35" s="96"/>
      <c r="J35" s="97"/>
      <c r="K35" s="98"/>
      <c r="L35" s="99"/>
      <c r="M35" s="94"/>
      <c r="N35" s="100"/>
      <c r="O35" s="96">
        <f t="shared" si="0"/>
        <v>0</v>
      </c>
      <c r="P35" s="101" t="str">
        <f t="shared" si="1"/>
        <v/>
      </c>
      <c r="Q35" s="102" t="str">
        <f t="shared" si="2"/>
        <v/>
      </c>
      <c r="R35" s="99"/>
      <c r="S35" s="94"/>
      <c r="T35" s="100"/>
      <c r="U35" s="96">
        <f t="shared" si="3"/>
        <v>0</v>
      </c>
      <c r="V35" s="101" t="str">
        <f t="shared" si="4"/>
        <v/>
      </c>
      <c r="W35" s="102" t="str">
        <f t="shared" si="5"/>
        <v/>
      </c>
      <c r="X35" s="99"/>
      <c r="Y35" s="94"/>
      <c r="Z35" s="100"/>
      <c r="AA35" s="96">
        <f t="shared" si="6"/>
        <v>0</v>
      </c>
      <c r="AB35" s="101" t="str">
        <f t="shared" si="7"/>
        <v/>
      </c>
      <c r="AC35" s="102" t="str">
        <f t="shared" si="8"/>
        <v/>
      </c>
    </row>
    <row r="36" spans="1:29">
      <c r="A36" s="92"/>
      <c r="B36" s="93" t="s">
        <v>121</v>
      </c>
      <c r="C36" s="94"/>
      <c r="D36" s="95"/>
      <c r="E36" s="94"/>
      <c r="F36" s="94"/>
      <c r="G36" s="94"/>
      <c r="H36" s="96"/>
      <c r="I36" s="96"/>
      <c r="J36" s="97"/>
      <c r="K36" s="98"/>
      <c r="L36" s="99"/>
      <c r="M36" s="94"/>
      <c r="N36" s="100"/>
      <c r="O36" s="96">
        <f t="shared" si="0"/>
        <v>0</v>
      </c>
      <c r="P36" s="101" t="str">
        <f t="shared" si="1"/>
        <v/>
      </c>
      <c r="Q36" s="102" t="str">
        <f t="shared" si="2"/>
        <v/>
      </c>
      <c r="R36" s="99"/>
      <c r="S36" s="94"/>
      <c r="T36" s="100"/>
      <c r="U36" s="96">
        <f t="shared" si="3"/>
        <v>0</v>
      </c>
      <c r="V36" s="101" t="str">
        <f t="shared" si="4"/>
        <v/>
      </c>
      <c r="W36" s="102" t="str">
        <f t="shared" si="5"/>
        <v/>
      </c>
      <c r="X36" s="99"/>
      <c r="Y36" s="94"/>
      <c r="Z36" s="100"/>
      <c r="AA36" s="96">
        <f t="shared" si="6"/>
        <v>0</v>
      </c>
      <c r="AB36" s="101" t="str">
        <f t="shared" si="7"/>
        <v/>
      </c>
      <c r="AC36" s="102" t="str">
        <f t="shared" si="8"/>
        <v/>
      </c>
    </row>
    <row r="37" spans="1:29">
      <c r="A37" s="92"/>
      <c r="B37" s="103" t="str">
        <f>[3]!ArticleCode(Art_02.)</f>
        <v>02.</v>
      </c>
      <c r="C37" s="134" t="str">
        <f>[3]!ArticleDescription(Art_02.)</f>
        <v>BOUWPLAATSVOORZIENINGEN</v>
      </c>
      <c r="D37" s="94"/>
      <c r="E37" s="94"/>
      <c r="F37" s="94"/>
      <c r="G37" s="94"/>
      <c r="H37" s="96"/>
      <c r="I37" s="96"/>
      <c r="J37" s="97"/>
      <c r="K37" s="98"/>
      <c r="L37" s="99"/>
      <c r="M37" s="94"/>
      <c r="N37" s="100"/>
      <c r="O37" s="96">
        <f t="shared" si="0"/>
        <v>0</v>
      </c>
      <c r="P37" s="101" t="str">
        <f t="shared" si="1"/>
        <v/>
      </c>
      <c r="Q37" s="102" t="str">
        <f t="shared" si="2"/>
        <v/>
      </c>
      <c r="R37" s="99"/>
      <c r="S37" s="94"/>
      <c r="T37" s="100"/>
      <c r="U37" s="96">
        <f t="shared" si="3"/>
        <v>0</v>
      </c>
      <c r="V37" s="101" t="str">
        <f t="shared" si="4"/>
        <v/>
      </c>
      <c r="W37" s="102" t="str">
        <f t="shared" si="5"/>
        <v/>
      </c>
      <c r="X37" s="99"/>
      <c r="Y37" s="94"/>
      <c r="Z37" s="100"/>
      <c r="AA37" s="96">
        <f t="shared" si="6"/>
        <v>0</v>
      </c>
      <c r="AB37" s="101" t="str">
        <f t="shared" si="7"/>
        <v/>
      </c>
      <c r="AC37" s="102" t="str">
        <f t="shared" si="8"/>
        <v/>
      </c>
    </row>
    <row r="38" spans="1:29">
      <c r="A38" s="92"/>
      <c r="B38" s="103" t="str">
        <f>[3]!ArticleCode(Art_02.00.)</f>
        <v>02.00.</v>
      </c>
      <c r="C38" s="134" t="str">
        <f>[3]!ArticleDescription(Art_02.00.)</f>
        <v>bouwplaatsvoorzieningen - algemeen</v>
      </c>
      <c r="D38" s="94"/>
      <c r="E38" s="94"/>
      <c r="F38" s="94"/>
      <c r="G38" s="94"/>
      <c r="H38" s="96"/>
      <c r="I38" s="96"/>
      <c r="J38" s="97"/>
      <c r="K38" s="98"/>
      <c r="L38" s="99"/>
      <c r="M38" s="94"/>
      <c r="N38" s="100"/>
      <c r="O38" s="96">
        <f t="shared" si="0"/>
        <v>0</v>
      </c>
      <c r="P38" s="101" t="str">
        <f t="shared" si="1"/>
        <v/>
      </c>
      <c r="Q38" s="102" t="str">
        <f t="shared" si="2"/>
        <v/>
      </c>
      <c r="R38" s="99"/>
      <c r="S38" s="94"/>
      <c r="T38" s="100"/>
      <c r="U38" s="96">
        <f t="shared" si="3"/>
        <v>0</v>
      </c>
      <c r="V38" s="101" t="str">
        <f t="shared" si="4"/>
        <v/>
      </c>
      <c r="W38" s="102" t="str">
        <f t="shared" si="5"/>
        <v/>
      </c>
      <c r="X38" s="99"/>
      <c r="Y38" s="94"/>
      <c r="Z38" s="100"/>
      <c r="AA38" s="96">
        <f t="shared" si="6"/>
        <v>0</v>
      </c>
      <c r="AB38" s="101" t="str">
        <f t="shared" si="7"/>
        <v/>
      </c>
      <c r="AC38" s="102" t="str">
        <f t="shared" si="8"/>
        <v/>
      </c>
    </row>
    <row r="39" spans="1:29">
      <c r="A39" s="92"/>
      <c r="B39" s="103" t="str">
        <f>[3]!ArticleCode(Art_02.10.)</f>
        <v>02.10.</v>
      </c>
      <c r="C39" s="134" t="str">
        <f>[3]!ArticleDescription(Art_02.10.)</f>
        <v>beschermingswerken – algemeen</v>
      </c>
      <c r="D39" s="94"/>
      <c r="E39" s="94"/>
      <c r="F39" s="94"/>
      <c r="G39" s="94"/>
      <c r="H39" s="96"/>
      <c r="I39" s="96"/>
      <c r="J39" s="97"/>
      <c r="K39" s="98"/>
      <c r="L39" s="99"/>
      <c r="M39" s="94"/>
      <c r="N39" s="100"/>
      <c r="O39" s="96">
        <f t="shared" si="0"/>
        <v>0</v>
      </c>
      <c r="P39" s="101" t="str">
        <f t="shared" si="1"/>
        <v/>
      </c>
      <c r="Q39" s="102" t="str">
        <f t="shared" si="2"/>
        <v/>
      </c>
      <c r="R39" s="99"/>
      <c r="S39" s="94"/>
      <c r="T39" s="100"/>
      <c r="U39" s="96">
        <f t="shared" si="3"/>
        <v>0</v>
      </c>
      <c r="V39" s="101" t="str">
        <f t="shared" si="4"/>
        <v/>
      </c>
      <c r="W39" s="102" t="str">
        <f t="shared" si="5"/>
        <v/>
      </c>
      <c r="X39" s="99"/>
      <c r="Y39" s="94"/>
      <c r="Z39" s="100"/>
      <c r="AA39" s="96">
        <f t="shared" si="6"/>
        <v>0</v>
      </c>
      <c r="AB39" s="101" t="str">
        <f t="shared" si="7"/>
        <v/>
      </c>
      <c r="AC39" s="102" t="str">
        <f t="shared" si="8"/>
        <v/>
      </c>
    </row>
    <row r="40" spans="1:29">
      <c r="A40" s="92">
        <f>A33+1</f>
        <v>16</v>
      </c>
      <c r="B40" s="103" t="str">
        <f>[3]!ArticleCode(Art_02.11.)</f>
        <v>02.11.</v>
      </c>
      <c r="C40" s="134" t="str">
        <f>[3]!ArticleDescription(Art_02.11.)</f>
        <v>beschermingswerken - openbare weg</v>
      </c>
      <c r="D40" s="94" t="str">
        <f>[3]!ArticleMeasureType(Art_02.11.)</f>
        <v>PM</v>
      </c>
      <c r="E40" s="94" t="str">
        <f>[3]!ArticleMeasureUnit(Art_02.11.)</f>
        <v/>
      </c>
      <c r="F40" s="104" t="str">
        <f>[3]!ArticleQuantity(Art_02.11.)</f>
        <v/>
      </c>
      <c r="G40" s="94"/>
      <c r="H40" s="96"/>
      <c r="I40" s="96">
        <f>IF(RIGHT($D40,1)="-","************",ROUND(IF(NOT(ISNUMBER(G40)),IF(NOT(ISNUMBER(F40)),1,F40),G40)*H40,2))</f>
        <v>0</v>
      </c>
      <c r="J40" s="97"/>
      <c r="K40" s="98"/>
      <c r="L40" s="99"/>
      <c r="M40" s="94"/>
      <c r="N40" s="100"/>
      <c r="O40" s="96">
        <f t="shared" si="0"/>
        <v>0</v>
      </c>
      <c r="P40" s="101" t="str">
        <f t="shared" si="1"/>
        <v/>
      </c>
      <c r="Q40" s="102" t="str">
        <f t="shared" si="2"/>
        <v/>
      </c>
      <c r="R40" s="99"/>
      <c r="S40" s="94"/>
      <c r="T40" s="100"/>
      <c r="U40" s="96">
        <f t="shared" si="3"/>
        <v>0</v>
      </c>
      <c r="V40" s="101" t="str">
        <f t="shared" si="4"/>
        <v/>
      </c>
      <c r="W40" s="102" t="str">
        <f t="shared" si="5"/>
        <v/>
      </c>
      <c r="X40" s="99"/>
      <c r="Y40" s="94"/>
      <c r="Z40" s="100"/>
      <c r="AA40" s="96">
        <f t="shared" si="6"/>
        <v>0</v>
      </c>
      <c r="AB40" s="101" t="str">
        <f t="shared" si="7"/>
        <v/>
      </c>
      <c r="AC40" s="102" t="str">
        <f t="shared" si="8"/>
        <v/>
      </c>
    </row>
    <row r="41" spans="1:29">
      <c r="A41" s="92"/>
      <c r="B41" s="103" t="str">
        <f>[3]!ArticleCode(Art_02.12.)</f>
        <v>02.12.</v>
      </c>
      <c r="C41" s="134" t="str">
        <f>[3]!ArticleDescription(Art_02.12.)</f>
        <v>beschermingswerken - beplantingen</v>
      </c>
      <c r="D41" s="94"/>
      <c r="E41" s="94"/>
      <c r="F41" s="94"/>
      <c r="G41" s="94"/>
      <c r="H41" s="96"/>
      <c r="I41" s="96"/>
      <c r="J41" s="97"/>
      <c r="K41" s="98"/>
      <c r="L41" s="99"/>
      <c r="M41" s="94"/>
      <c r="N41" s="100"/>
      <c r="O41" s="96">
        <f t="shared" si="0"/>
        <v>0</v>
      </c>
      <c r="P41" s="101" t="str">
        <f t="shared" si="1"/>
        <v/>
      </c>
      <c r="Q41" s="102" t="str">
        <f t="shared" si="2"/>
        <v/>
      </c>
      <c r="R41" s="99"/>
      <c r="S41" s="94"/>
      <c r="T41" s="100"/>
      <c r="U41" s="96">
        <f t="shared" si="3"/>
        <v>0</v>
      </c>
      <c r="V41" s="101" t="str">
        <f t="shared" si="4"/>
        <v/>
      </c>
      <c r="W41" s="102" t="str">
        <f t="shared" si="5"/>
        <v/>
      </c>
      <c r="X41" s="99"/>
      <c r="Y41" s="94"/>
      <c r="Z41" s="100"/>
      <c r="AA41" s="96">
        <f t="shared" si="6"/>
        <v>0</v>
      </c>
      <c r="AB41" s="101" t="str">
        <f t="shared" si="7"/>
        <v/>
      </c>
      <c r="AC41" s="102" t="str">
        <f t="shared" si="8"/>
        <v/>
      </c>
    </row>
    <row r="42" spans="1:29">
      <c r="A42" s="92">
        <f>A40+1</f>
        <v>17</v>
      </c>
      <c r="B42" s="103" t="str">
        <f>[3]!ArticleCode(Art_02.12.10.)</f>
        <v>02.12.10.</v>
      </c>
      <c r="C42" s="134" t="str">
        <f>[3]!ArticleDescription(Art_02.12.10.)</f>
        <v>beschermingswerken - beplantingen/bomen</v>
      </c>
      <c r="D42" s="94" t="str">
        <f>[3]!ArticleMeasureType(Art_02.12.10.)</f>
        <v>PM</v>
      </c>
      <c r="E42" s="94" t="str">
        <f>[3]!ArticleMeasureUnit(Art_02.12.10.)</f>
        <v/>
      </c>
      <c r="F42" s="104" t="str">
        <f>[3]!ArticleQuantity(Art_02.12.10.)</f>
        <v/>
      </c>
      <c r="G42" s="94"/>
      <c r="H42" s="96"/>
      <c r="I42" s="96">
        <f>IF(RIGHT($D42,1)="-","************",ROUND(IF(NOT(ISNUMBER(G42)),IF(NOT(ISNUMBER(F42)),1,F42),G42)*H42,2))</f>
        <v>0</v>
      </c>
      <c r="J42" s="97"/>
      <c r="K42" s="98"/>
      <c r="L42" s="99"/>
      <c r="M42" s="94"/>
      <c r="N42" s="100"/>
      <c r="O42" s="96">
        <f t="shared" si="0"/>
        <v>0</v>
      </c>
      <c r="P42" s="101" t="str">
        <f t="shared" si="1"/>
        <v/>
      </c>
      <c r="Q42" s="102" t="str">
        <f t="shared" si="2"/>
        <v/>
      </c>
      <c r="R42" s="99"/>
      <c r="S42" s="94"/>
      <c r="T42" s="100"/>
      <c r="U42" s="96">
        <f t="shared" si="3"/>
        <v>0</v>
      </c>
      <c r="V42" s="101" t="str">
        <f t="shared" si="4"/>
        <v/>
      </c>
      <c r="W42" s="102" t="str">
        <f t="shared" si="5"/>
        <v/>
      </c>
      <c r="X42" s="99"/>
      <c r="Y42" s="94"/>
      <c r="Z42" s="100"/>
      <c r="AA42" s="96">
        <f t="shared" si="6"/>
        <v>0</v>
      </c>
      <c r="AB42" s="101" t="str">
        <f t="shared" si="7"/>
        <v/>
      </c>
      <c r="AC42" s="102" t="str">
        <f t="shared" si="8"/>
        <v/>
      </c>
    </row>
    <row r="43" spans="1:29">
      <c r="A43" s="92">
        <f>A42+1</f>
        <v>18</v>
      </c>
      <c r="B43" s="103" t="str">
        <f>[3]!ArticleCode(Art_02.12.20.)</f>
        <v>02.12.20.</v>
      </c>
      <c r="C43" s="134" t="str">
        <f>[3]!ArticleDescription(Art_02.12.20.)</f>
        <v>beschermingswerken - beplantingen/struiken en hagen</v>
      </c>
      <c r="D43" s="94" t="str">
        <f>[3]!ArticleMeasureType(Art_02.12.20.)</f>
        <v>PM</v>
      </c>
      <c r="E43" s="94" t="str">
        <f>[3]!ArticleMeasureUnit(Art_02.12.20.)</f>
        <v/>
      </c>
      <c r="F43" s="104" t="str">
        <f>[3]!ArticleQuantity(Art_02.12.20.)</f>
        <v/>
      </c>
      <c r="G43" s="94"/>
      <c r="H43" s="96"/>
      <c r="I43" s="96">
        <f>IF(RIGHT($D43,1)="-","************",ROUND(IF(NOT(ISNUMBER(G43)),IF(NOT(ISNUMBER(F43)),1,F43),G43)*H43,2))</f>
        <v>0</v>
      </c>
      <c r="J43" s="97"/>
      <c r="K43" s="98"/>
      <c r="L43" s="99"/>
      <c r="M43" s="94"/>
      <c r="N43" s="100"/>
      <c r="O43" s="96">
        <f t="shared" si="0"/>
        <v>0</v>
      </c>
      <c r="P43" s="101" t="str">
        <f t="shared" si="1"/>
        <v/>
      </c>
      <c r="Q43" s="102" t="str">
        <f t="shared" si="2"/>
        <v/>
      </c>
      <c r="R43" s="99"/>
      <c r="S43" s="94"/>
      <c r="T43" s="100"/>
      <c r="U43" s="96">
        <f t="shared" si="3"/>
        <v>0</v>
      </c>
      <c r="V43" s="101" t="str">
        <f t="shared" si="4"/>
        <v/>
      </c>
      <c r="W43" s="102" t="str">
        <f t="shared" si="5"/>
        <v/>
      </c>
      <c r="X43" s="99"/>
      <c r="Y43" s="94"/>
      <c r="Z43" s="100"/>
      <c r="AA43" s="96">
        <f t="shared" si="6"/>
        <v>0</v>
      </c>
      <c r="AB43" s="101" t="str">
        <f t="shared" si="7"/>
        <v/>
      </c>
      <c r="AC43" s="102" t="str">
        <f t="shared" si="8"/>
        <v/>
      </c>
    </row>
    <row r="44" spans="1:29">
      <c r="A44" s="92"/>
      <c r="B44" s="103" t="str">
        <f>[3]!ArticleCode(Art_02.80.)</f>
        <v>02.80.</v>
      </c>
      <c r="C44" s="134" t="str">
        <f>[3]!ArticleDescription(Art_02.80.)</f>
        <v>arbeidsmiddelen – algemeen</v>
      </c>
      <c r="D44" s="94"/>
      <c r="E44" s="94"/>
      <c r="F44" s="94"/>
      <c r="G44" s="94"/>
      <c r="H44" s="96"/>
      <c r="I44" s="96"/>
      <c r="J44" s="97"/>
      <c r="K44" s="98"/>
      <c r="L44" s="99"/>
      <c r="M44" s="94"/>
      <c r="N44" s="100"/>
      <c r="O44" s="96">
        <f t="shared" si="0"/>
        <v>0</v>
      </c>
      <c r="P44" s="101" t="str">
        <f t="shared" si="1"/>
        <v/>
      </c>
      <c r="Q44" s="102" t="str">
        <f t="shared" si="2"/>
        <v/>
      </c>
      <c r="R44" s="99"/>
      <c r="S44" s="94"/>
      <c r="T44" s="100"/>
      <c r="U44" s="96">
        <f t="shared" si="3"/>
        <v>0</v>
      </c>
      <c r="V44" s="101" t="str">
        <f t="shared" si="4"/>
        <v/>
      </c>
      <c r="W44" s="102" t="str">
        <f t="shared" si="5"/>
        <v/>
      </c>
      <c r="X44" s="99"/>
      <c r="Y44" s="94"/>
      <c r="Z44" s="100"/>
      <c r="AA44" s="96">
        <f t="shared" si="6"/>
        <v>0</v>
      </c>
      <c r="AB44" s="101" t="str">
        <f t="shared" si="7"/>
        <v/>
      </c>
      <c r="AC44" s="102" t="str">
        <f t="shared" si="8"/>
        <v/>
      </c>
    </row>
    <row r="45" spans="1:29">
      <c r="A45" s="92"/>
      <c r="B45" s="103" t="str">
        <f>[3]!ArticleCode(Art_02.81.)</f>
        <v>02.81.</v>
      </c>
      <c r="C45" s="134" t="str">
        <f>[3]!ArticleDescription(Art_02.81.)</f>
        <v>arbeidsmiddelen – werken op hoogte</v>
      </c>
      <c r="D45" s="94"/>
      <c r="E45" s="94"/>
      <c r="F45" s="94"/>
      <c r="G45" s="94"/>
      <c r="H45" s="96"/>
      <c r="I45" s="96"/>
      <c r="J45" s="97"/>
      <c r="K45" s="98"/>
      <c r="L45" s="99"/>
      <c r="M45" s="94"/>
      <c r="N45" s="100"/>
      <c r="O45" s="96">
        <f t="shared" si="0"/>
        <v>0</v>
      </c>
      <c r="P45" s="101" t="str">
        <f t="shared" si="1"/>
        <v/>
      </c>
      <c r="Q45" s="102" t="str">
        <f t="shared" si="2"/>
        <v/>
      </c>
      <c r="R45" s="99"/>
      <c r="S45" s="94"/>
      <c r="T45" s="100"/>
      <c r="U45" s="96">
        <f t="shared" si="3"/>
        <v>0</v>
      </c>
      <c r="V45" s="101" t="str">
        <f t="shared" si="4"/>
        <v/>
      </c>
      <c r="W45" s="102" t="str">
        <f t="shared" si="5"/>
        <v/>
      </c>
      <c r="X45" s="99"/>
      <c r="Y45" s="94"/>
      <c r="Z45" s="100"/>
      <c r="AA45" s="96">
        <f t="shared" si="6"/>
        <v>0</v>
      </c>
      <c r="AB45" s="101" t="str">
        <f t="shared" si="7"/>
        <v/>
      </c>
      <c r="AC45" s="102" t="str">
        <f t="shared" si="8"/>
        <v/>
      </c>
    </row>
    <row r="46" spans="1:29">
      <c r="A46" s="92">
        <f>A43+1</f>
        <v>19</v>
      </c>
      <c r="B46" s="103" t="str">
        <f>[3]!ArticleCode(Art_02.81.10.)</f>
        <v>02.81.10.</v>
      </c>
      <c r="C46" s="134" t="str">
        <f>[3]!ArticleDescription(Art_02.81.10.)</f>
        <v>arbeidsmiddelen – werken op hoogte/ladders</v>
      </c>
      <c r="D46" s="94" t="str">
        <f>[3]!ArticleMeasureType(Art_02.81.10.)</f>
        <v>PM</v>
      </c>
      <c r="E46" s="94" t="str">
        <f>[3]!ArticleMeasureUnit(Art_02.81.10.)</f>
        <v/>
      </c>
      <c r="F46" s="104" t="str">
        <f>[3]!ArticleQuantity(Art_02.81.10.)</f>
        <v/>
      </c>
      <c r="G46" s="94"/>
      <c r="H46" s="96"/>
      <c r="I46" s="96">
        <f>IF(RIGHT($D46,1)="-","************",ROUND(IF(NOT(ISNUMBER(G46)),IF(NOT(ISNUMBER(F46)),1,F46),G46)*H46,2))</f>
        <v>0</v>
      </c>
      <c r="J46" s="97"/>
      <c r="K46" s="98"/>
      <c r="L46" s="99"/>
      <c r="M46" s="94"/>
      <c r="N46" s="100"/>
      <c r="O46" s="96">
        <f t="shared" ref="O46:O77" si="11">IF(MID($D46,3,1)="-","*********",ROUND(IF(NOT(ISNUMBER($G46)),IF(NOT(ISNUMBER($F46)),1,$F46),$G46)*(IF(NOT(ISNUMBER(N46)),L46,N46)),2))</f>
        <v>0</v>
      </c>
      <c r="P46" s="101" t="str">
        <f t="shared" si="1"/>
        <v/>
      </c>
      <c r="Q46" s="102" t="str">
        <f t="shared" si="2"/>
        <v/>
      </c>
      <c r="R46" s="99"/>
      <c r="S46" s="94"/>
      <c r="T46" s="100"/>
      <c r="U46" s="96">
        <f t="shared" ref="U46:U77" si="12">IF(MID($D46,3,1)="-","*********",ROUND(IF(NOT(ISNUMBER($G46)),IF(NOT(ISNUMBER($F46)),1,$F46),$G46)*(IF(NOT(ISNUMBER(T46)),R46,T46)),2))</f>
        <v>0</v>
      </c>
      <c r="V46" s="101" t="str">
        <f t="shared" si="4"/>
        <v/>
      </c>
      <c r="W46" s="102" t="str">
        <f t="shared" si="5"/>
        <v/>
      </c>
      <c r="X46" s="99"/>
      <c r="Y46" s="94"/>
      <c r="Z46" s="100"/>
      <c r="AA46" s="96">
        <f t="shared" ref="AA46:AA77" si="13">IF(MID($D46,3,1)="-","*********",ROUND(IF(NOT(ISNUMBER($G46)),IF(NOT(ISNUMBER($F46)),1,$F46),$G46)*(IF(NOT(ISNUMBER(Z46)),X46,Z46)),2))</f>
        <v>0</v>
      </c>
      <c r="AB46" s="101" t="str">
        <f t="shared" si="7"/>
        <v/>
      </c>
      <c r="AC46" s="102" t="str">
        <f t="shared" si="8"/>
        <v/>
      </c>
    </row>
    <row r="47" spans="1:29">
      <c r="A47" s="92">
        <f>A46+1</f>
        <v>20</v>
      </c>
      <c r="B47" s="103" t="str">
        <f>[3]!ArticleCode(Art_02.82.)</f>
        <v>02.82.</v>
      </c>
      <c r="C47" s="134" t="str">
        <f>[3]!ArticleDescription(Art_02.82.)</f>
        <v>arbeidsmiddelen – hijsen en heffen van lasten</v>
      </c>
      <c r="D47" s="94" t="str">
        <f>[3]!ArticleMeasureType(Art_02.82.)</f>
        <v>PM</v>
      </c>
      <c r="E47" s="94" t="str">
        <f>[3]!ArticleMeasureUnit(Art_02.82.)</f>
        <v/>
      </c>
      <c r="F47" s="104" t="str">
        <f>[3]!ArticleQuantity(Art_02.82.)</f>
        <v/>
      </c>
      <c r="G47" s="94"/>
      <c r="H47" s="96"/>
      <c r="I47" s="96">
        <f>IF(RIGHT($D47,1)="-","************",ROUND(IF(NOT(ISNUMBER(G47)),IF(NOT(ISNUMBER(F47)),1,F47),G47)*H47,2))</f>
        <v>0</v>
      </c>
      <c r="J47" s="97"/>
      <c r="K47" s="98"/>
      <c r="L47" s="99"/>
      <c r="M47" s="94"/>
      <c r="N47" s="100"/>
      <c r="O47" s="96">
        <f t="shared" si="11"/>
        <v>0</v>
      </c>
      <c r="P47" s="101" t="str">
        <f t="shared" si="1"/>
        <v/>
      </c>
      <c r="Q47" s="102" t="str">
        <f t="shared" si="2"/>
        <v/>
      </c>
      <c r="R47" s="99"/>
      <c r="S47" s="94"/>
      <c r="T47" s="100"/>
      <c r="U47" s="96">
        <f t="shared" si="12"/>
        <v>0</v>
      </c>
      <c r="V47" s="101" t="str">
        <f t="shared" si="4"/>
        <v/>
      </c>
      <c r="W47" s="102" t="str">
        <f t="shared" si="5"/>
        <v/>
      </c>
      <c r="X47" s="99"/>
      <c r="Y47" s="94"/>
      <c r="Z47" s="100"/>
      <c r="AA47" s="96">
        <f t="shared" si="13"/>
        <v>0</v>
      </c>
      <c r="AB47" s="101" t="str">
        <f t="shared" si="7"/>
        <v/>
      </c>
      <c r="AC47" s="102" t="str">
        <f t="shared" si="8"/>
        <v/>
      </c>
    </row>
    <row r="48" spans="1:29">
      <c r="A48" s="92"/>
      <c r="B48" s="105"/>
      <c r="C48" s="106"/>
      <c r="D48" s="107"/>
      <c r="E48" s="106"/>
      <c r="F48" s="106"/>
      <c r="G48" s="106"/>
      <c r="H48" s="108"/>
      <c r="I48" s="108"/>
      <c r="J48" s="109">
        <f>SUBTOTAL(9,I37:I47)</f>
        <v>0</v>
      </c>
      <c r="K48" s="98"/>
      <c r="L48" s="99"/>
      <c r="M48" s="94"/>
      <c r="N48" s="100"/>
      <c r="O48" s="96">
        <f t="shared" si="11"/>
        <v>0</v>
      </c>
      <c r="P48" s="101" t="str">
        <f t="shared" si="1"/>
        <v/>
      </c>
      <c r="Q48" s="102" t="str">
        <f t="shared" si="2"/>
        <v/>
      </c>
      <c r="R48" s="99"/>
      <c r="S48" s="94"/>
      <c r="T48" s="100"/>
      <c r="U48" s="96">
        <f t="shared" si="12"/>
        <v>0</v>
      </c>
      <c r="V48" s="101" t="str">
        <f t="shared" si="4"/>
        <v/>
      </c>
      <c r="W48" s="102" t="str">
        <f t="shared" si="5"/>
        <v/>
      </c>
      <c r="X48" s="99"/>
      <c r="Y48" s="94"/>
      <c r="Z48" s="100"/>
      <c r="AA48" s="96">
        <f t="shared" si="13"/>
        <v>0</v>
      </c>
      <c r="AB48" s="101" t="str">
        <f t="shared" si="7"/>
        <v/>
      </c>
      <c r="AC48" s="102" t="str">
        <f t="shared" si="8"/>
        <v/>
      </c>
    </row>
    <row r="49" spans="1:29">
      <c r="A49" s="92"/>
      <c r="B49" s="110"/>
      <c r="C49" s="94"/>
      <c r="D49" s="94"/>
      <c r="E49" s="94"/>
      <c r="F49" s="94"/>
      <c r="G49" s="94"/>
      <c r="H49" s="96"/>
      <c r="I49" s="96"/>
      <c r="J49" s="97"/>
      <c r="K49" s="98"/>
      <c r="L49" s="99"/>
      <c r="M49" s="94"/>
      <c r="N49" s="100"/>
      <c r="O49" s="96">
        <f t="shared" si="11"/>
        <v>0</v>
      </c>
      <c r="P49" s="101" t="str">
        <f t="shared" si="1"/>
        <v/>
      </c>
      <c r="Q49" s="102" t="str">
        <f t="shared" si="2"/>
        <v/>
      </c>
      <c r="R49" s="99"/>
      <c r="S49" s="94"/>
      <c r="T49" s="100"/>
      <c r="U49" s="96">
        <f t="shared" si="12"/>
        <v>0</v>
      </c>
      <c r="V49" s="101" t="str">
        <f t="shared" si="4"/>
        <v/>
      </c>
      <c r="W49" s="102" t="str">
        <f t="shared" si="5"/>
        <v/>
      </c>
      <c r="X49" s="99"/>
      <c r="Y49" s="94"/>
      <c r="Z49" s="100"/>
      <c r="AA49" s="96">
        <f t="shared" si="13"/>
        <v>0</v>
      </c>
      <c r="AB49" s="101" t="str">
        <f t="shared" si="7"/>
        <v/>
      </c>
      <c r="AC49" s="102" t="str">
        <f t="shared" si="8"/>
        <v/>
      </c>
    </row>
    <row r="50" spans="1:29">
      <c r="A50" s="92"/>
      <c r="B50" s="93" t="s">
        <v>183</v>
      </c>
      <c r="C50" s="94"/>
      <c r="D50" s="95"/>
      <c r="E50" s="94"/>
      <c r="F50" s="94"/>
      <c r="G50" s="94"/>
      <c r="H50" s="96"/>
      <c r="I50" s="96"/>
      <c r="J50" s="97"/>
      <c r="K50" s="98"/>
      <c r="L50" s="99"/>
      <c r="M50" s="94"/>
      <c r="N50" s="100"/>
      <c r="O50" s="96">
        <f t="shared" si="11"/>
        <v>0</v>
      </c>
      <c r="P50" s="101" t="str">
        <f t="shared" si="1"/>
        <v/>
      </c>
      <c r="Q50" s="102" t="str">
        <f t="shared" si="2"/>
        <v/>
      </c>
      <c r="R50" s="99"/>
      <c r="S50" s="94"/>
      <c r="T50" s="100"/>
      <c r="U50" s="96">
        <f t="shared" si="12"/>
        <v>0</v>
      </c>
      <c r="V50" s="101" t="str">
        <f t="shared" si="4"/>
        <v/>
      </c>
      <c r="W50" s="102" t="str">
        <f t="shared" si="5"/>
        <v/>
      </c>
      <c r="X50" s="99"/>
      <c r="Y50" s="94"/>
      <c r="Z50" s="100"/>
      <c r="AA50" s="96">
        <f t="shared" si="13"/>
        <v>0</v>
      </c>
      <c r="AB50" s="101" t="str">
        <f t="shared" si="7"/>
        <v/>
      </c>
      <c r="AC50" s="102" t="str">
        <f t="shared" si="8"/>
        <v/>
      </c>
    </row>
    <row r="51" spans="1:29">
      <c r="A51" s="92"/>
      <c r="B51" s="103" t="str">
        <f>[3]!ArticleCode(Art_03.)</f>
        <v>03.</v>
      </c>
      <c r="C51" s="134" t="str">
        <f>[3]!ArticleDescription(Art_03.)</f>
        <v>AFBRAAKWERKEN</v>
      </c>
      <c r="D51" s="94"/>
      <c r="E51" s="94"/>
      <c r="F51" s="94"/>
      <c r="G51" s="94"/>
      <c r="H51" s="96"/>
      <c r="I51" s="96"/>
      <c r="J51" s="97"/>
      <c r="K51" s="98"/>
      <c r="L51" s="99"/>
      <c r="M51" s="94"/>
      <c r="N51" s="100"/>
      <c r="O51" s="96">
        <f t="shared" si="11"/>
        <v>0</v>
      </c>
      <c r="P51" s="101" t="str">
        <f t="shared" si="1"/>
        <v/>
      </c>
      <c r="Q51" s="102" t="str">
        <f t="shared" si="2"/>
        <v/>
      </c>
      <c r="R51" s="99"/>
      <c r="S51" s="94"/>
      <c r="T51" s="100"/>
      <c r="U51" s="96">
        <f t="shared" si="12"/>
        <v>0</v>
      </c>
      <c r="V51" s="101" t="str">
        <f t="shared" si="4"/>
        <v/>
      </c>
      <c r="W51" s="102" t="str">
        <f t="shared" si="5"/>
        <v/>
      </c>
      <c r="X51" s="99"/>
      <c r="Y51" s="94"/>
      <c r="Z51" s="100"/>
      <c r="AA51" s="96">
        <f t="shared" si="13"/>
        <v>0</v>
      </c>
      <c r="AB51" s="101" t="str">
        <f t="shared" si="7"/>
        <v/>
      </c>
      <c r="AC51" s="102" t="str">
        <f t="shared" si="8"/>
        <v/>
      </c>
    </row>
    <row r="52" spans="1:29">
      <c r="A52" s="92"/>
      <c r="B52" s="103" t="str">
        <f>[3]!ArticleCode(Art_03.00.)</f>
        <v>03.00.</v>
      </c>
      <c r="C52" s="134" t="str">
        <f>[3]!ArticleDescription(Art_03.00.)</f>
        <v>afbraakwerken - algemeen</v>
      </c>
      <c r="D52" s="94"/>
      <c r="E52" s="94"/>
      <c r="F52" s="94"/>
      <c r="G52" s="94"/>
      <c r="H52" s="96"/>
      <c r="I52" s="96"/>
      <c r="J52" s="97"/>
      <c r="K52" s="98"/>
      <c r="L52" s="99"/>
      <c r="M52" s="94"/>
      <c r="N52" s="100"/>
      <c r="O52" s="96">
        <f t="shared" si="11"/>
        <v>0</v>
      </c>
      <c r="P52" s="101" t="str">
        <f t="shared" si="1"/>
        <v/>
      </c>
      <c r="Q52" s="102" t="str">
        <f t="shared" si="2"/>
        <v/>
      </c>
      <c r="R52" s="99"/>
      <c r="S52" s="94"/>
      <c r="T52" s="100"/>
      <c r="U52" s="96">
        <f t="shared" si="12"/>
        <v>0</v>
      </c>
      <c r="V52" s="101" t="str">
        <f t="shared" si="4"/>
        <v/>
      </c>
      <c r="W52" s="102" t="str">
        <f t="shared" si="5"/>
        <v/>
      </c>
      <c r="X52" s="99"/>
      <c r="Y52" s="94"/>
      <c r="Z52" s="100"/>
      <c r="AA52" s="96">
        <f t="shared" si="13"/>
        <v>0</v>
      </c>
      <c r="AB52" s="101" t="str">
        <f t="shared" si="7"/>
        <v/>
      </c>
      <c r="AC52" s="102" t="str">
        <f t="shared" si="8"/>
        <v/>
      </c>
    </row>
    <row r="53" spans="1:29">
      <c r="A53" s="92"/>
      <c r="B53" s="103" t="str">
        <f>[3]!ArticleCode(Art_03.40.)</f>
        <v>03.40.</v>
      </c>
      <c r="C53" s="134" t="str">
        <f>[3]!ArticleDescription(Art_03.40.)</f>
        <v>afbraak gevelelementen - algemeen</v>
      </c>
      <c r="D53" s="94"/>
      <c r="E53" s="94"/>
      <c r="F53" s="94"/>
      <c r="G53" s="94"/>
      <c r="H53" s="96"/>
      <c r="I53" s="96"/>
      <c r="J53" s="97"/>
      <c r="K53" s="98"/>
      <c r="L53" s="99"/>
      <c r="M53" s="94"/>
      <c r="N53" s="100"/>
      <c r="O53" s="96">
        <f t="shared" si="11"/>
        <v>0</v>
      </c>
      <c r="P53" s="101" t="str">
        <f t="shared" si="1"/>
        <v/>
      </c>
      <c r="Q53" s="102" t="str">
        <f t="shared" si="2"/>
        <v/>
      </c>
      <c r="R53" s="99"/>
      <c r="S53" s="94"/>
      <c r="T53" s="100"/>
      <c r="U53" s="96">
        <f t="shared" si="12"/>
        <v>0</v>
      </c>
      <c r="V53" s="101" t="str">
        <f t="shared" si="4"/>
        <v/>
      </c>
      <c r="W53" s="102" t="str">
        <f t="shared" si="5"/>
        <v/>
      </c>
      <c r="X53" s="99"/>
      <c r="Y53" s="94"/>
      <c r="Z53" s="100"/>
      <c r="AA53" s="96">
        <f t="shared" si="13"/>
        <v>0</v>
      </c>
      <c r="AB53" s="101" t="str">
        <f t="shared" si="7"/>
        <v/>
      </c>
      <c r="AC53" s="102" t="str">
        <f t="shared" si="8"/>
        <v/>
      </c>
    </row>
    <row r="54" spans="1:29">
      <c r="A54" s="92"/>
      <c r="B54" s="103" t="str">
        <f>[3]!ArticleCode(Art_03.44.)</f>
        <v>03.44.</v>
      </c>
      <c r="C54" s="134" t="str">
        <f>[3]!ArticleDescription(Art_03.44.)</f>
        <v>afbraak gevelelementen - buitenschrijnwerk</v>
      </c>
      <c r="D54" s="94"/>
      <c r="E54" s="94"/>
      <c r="F54" s="94"/>
      <c r="G54" s="94"/>
      <c r="H54" s="96"/>
      <c r="I54" s="96"/>
      <c r="J54" s="97"/>
      <c r="K54" s="98"/>
      <c r="L54" s="99"/>
      <c r="M54" s="94"/>
      <c r="N54" s="100"/>
      <c r="O54" s="96">
        <f t="shared" si="11"/>
        <v>0</v>
      </c>
      <c r="P54" s="101" t="str">
        <f t="shared" si="1"/>
        <v/>
      </c>
      <c r="Q54" s="102" t="str">
        <f t="shared" si="2"/>
        <v/>
      </c>
      <c r="R54" s="99"/>
      <c r="S54" s="94"/>
      <c r="T54" s="100"/>
      <c r="U54" s="96">
        <f t="shared" si="12"/>
        <v>0</v>
      </c>
      <c r="V54" s="101" t="str">
        <f t="shared" si="4"/>
        <v/>
      </c>
      <c r="W54" s="102" t="str">
        <f t="shared" si="5"/>
        <v/>
      </c>
      <c r="X54" s="99"/>
      <c r="Y54" s="94"/>
      <c r="Z54" s="100"/>
      <c r="AA54" s="96">
        <f t="shared" si="13"/>
        <v>0</v>
      </c>
      <c r="AB54" s="101" t="str">
        <f t="shared" si="7"/>
        <v/>
      </c>
      <c r="AC54" s="102" t="str">
        <f t="shared" si="8"/>
        <v/>
      </c>
    </row>
    <row r="55" spans="1:29">
      <c r="A55" s="92">
        <f>A47+1</f>
        <v>21</v>
      </c>
      <c r="B55" s="103" t="str">
        <f>[3]!ArticleCode(Art_03.44.20.)</f>
        <v>03.44.20.</v>
      </c>
      <c r="C55" s="134" t="str">
        <f>[3]!ArticleDescription(Art_03.44.20.)</f>
        <v>afbraak gevelelementen - buitenschrijnwerk/ramen, deuren en poorten</v>
      </c>
      <c r="D55" s="94" t="str">
        <f>[3]!ArticleMeasureType(Art_03.44.20.)</f>
        <v>FH</v>
      </c>
      <c r="E55" s="94" t="str">
        <f>[3]!ArticleMeasureUnit(Art_03.44.20.)</f>
        <v>m2</v>
      </c>
      <c r="F55" s="111">
        <f>[3]!ArticleQuantity(Art_03.44.20.)</f>
        <v>47.32</v>
      </c>
      <c r="G55" s="94"/>
      <c r="H55" s="96"/>
      <c r="I55" s="96">
        <f>IF(RIGHT($D55,1)="-","************",ROUND(IF(NOT(ISNUMBER(G55)),IF(NOT(ISNUMBER(F55)),1,F55),G55)*H55,2))</f>
        <v>0</v>
      </c>
      <c r="J55" s="97"/>
      <c r="K55" s="98"/>
      <c r="L55" s="99"/>
      <c r="M55" s="94"/>
      <c r="N55" s="100"/>
      <c r="O55" s="96">
        <f t="shared" si="11"/>
        <v>0</v>
      </c>
      <c r="P55" s="101" t="str">
        <f t="shared" si="1"/>
        <v/>
      </c>
      <c r="Q55" s="102" t="str">
        <f t="shared" si="2"/>
        <v/>
      </c>
      <c r="R55" s="99"/>
      <c r="S55" s="94"/>
      <c r="T55" s="100"/>
      <c r="U55" s="96">
        <f t="shared" si="12"/>
        <v>0</v>
      </c>
      <c r="V55" s="101" t="str">
        <f t="shared" si="4"/>
        <v/>
      </c>
      <c r="W55" s="102" t="str">
        <f t="shared" si="5"/>
        <v/>
      </c>
      <c r="X55" s="99"/>
      <c r="Y55" s="94"/>
      <c r="Z55" s="100"/>
      <c r="AA55" s="96">
        <f t="shared" si="13"/>
        <v>0</v>
      </c>
      <c r="AB55" s="101" t="str">
        <f t="shared" si="7"/>
        <v/>
      </c>
      <c r="AC55" s="102" t="str">
        <f t="shared" si="8"/>
        <v/>
      </c>
    </row>
    <row r="56" spans="1:29">
      <c r="A56" s="92"/>
      <c r="B56" s="105"/>
      <c r="C56" s="106"/>
      <c r="D56" s="107"/>
      <c r="E56" s="106"/>
      <c r="F56" s="106"/>
      <c r="G56" s="106"/>
      <c r="H56" s="108"/>
      <c r="I56" s="108"/>
      <c r="J56" s="109">
        <f>SUBTOTAL(9,I51:I55)</f>
        <v>0</v>
      </c>
      <c r="K56" s="98"/>
      <c r="L56" s="99"/>
      <c r="M56" s="94"/>
      <c r="N56" s="100"/>
      <c r="O56" s="96">
        <f t="shared" si="11"/>
        <v>0</v>
      </c>
      <c r="P56" s="101" t="str">
        <f t="shared" si="1"/>
        <v/>
      </c>
      <c r="Q56" s="102" t="str">
        <f t="shared" si="2"/>
        <v/>
      </c>
      <c r="R56" s="99"/>
      <c r="S56" s="94"/>
      <c r="T56" s="100"/>
      <c r="U56" s="96">
        <f t="shared" si="12"/>
        <v>0</v>
      </c>
      <c r="V56" s="101" t="str">
        <f t="shared" si="4"/>
        <v/>
      </c>
      <c r="W56" s="102" t="str">
        <f t="shared" si="5"/>
        <v/>
      </c>
      <c r="X56" s="99"/>
      <c r="Y56" s="94"/>
      <c r="Z56" s="100"/>
      <c r="AA56" s="96">
        <f t="shared" si="13"/>
        <v>0</v>
      </c>
      <c r="AB56" s="101" t="str">
        <f t="shared" si="7"/>
        <v/>
      </c>
      <c r="AC56" s="102" t="str">
        <f t="shared" si="8"/>
        <v/>
      </c>
    </row>
    <row r="57" spans="1:29">
      <c r="A57" s="92"/>
      <c r="B57" s="110"/>
      <c r="C57" s="94"/>
      <c r="D57" s="94"/>
      <c r="E57" s="94"/>
      <c r="F57" s="94"/>
      <c r="G57" s="94"/>
      <c r="H57" s="96"/>
      <c r="I57" s="96"/>
      <c r="J57" s="97"/>
      <c r="K57" s="98"/>
      <c r="L57" s="99"/>
      <c r="M57" s="94"/>
      <c r="N57" s="100"/>
      <c r="O57" s="96">
        <f t="shared" si="11"/>
        <v>0</v>
      </c>
      <c r="P57" s="101" t="str">
        <f t="shared" si="1"/>
        <v/>
      </c>
      <c r="Q57" s="102" t="str">
        <f t="shared" si="2"/>
        <v/>
      </c>
      <c r="R57" s="99"/>
      <c r="S57" s="94"/>
      <c r="T57" s="100"/>
      <c r="U57" s="96">
        <f t="shared" si="12"/>
        <v>0</v>
      </c>
      <c r="V57" s="101" t="str">
        <f t="shared" si="4"/>
        <v/>
      </c>
      <c r="W57" s="102" t="str">
        <f t="shared" si="5"/>
        <v/>
      </c>
      <c r="X57" s="99"/>
      <c r="Y57" s="94"/>
      <c r="Z57" s="100"/>
      <c r="AA57" s="96">
        <f t="shared" si="13"/>
        <v>0</v>
      </c>
      <c r="AB57" s="101" t="str">
        <f t="shared" si="7"/>
        <v/>
      </c>
      <c r="AC57" s="102" t="str">
        <f t="shared" si="8"/>
        <v/>
      </c>
    </row>
    <row r="58" spans="1:29">
      <c r="A58" s="92"/>
      <c r="B58" s="93" t="s">
        <v>201</v>
      </c>
      <c r="C58" s="94"/>
      <c r="D58" s="95"/>
      <c r="E58" s="94"/>
      <c r="F58" s="94"/>
      <c r="G58" s="94"/>
      <c r="H58" s="96"/>
      <c r="I58" s="96"/>
      <c r="J58" s="97"/>
      <c r="K58" s="98"/>
      <c r="L58" s="99"/>
      <c r="M58" s="94"/>
      <c r="N58" s="100"/>
      <c r="O58" s="96">
        <f t="shared" si="11"/>
        <v>0</v>
      </c>
      <c r="P58" s="101" t="str">
        <f t="shared" si="1"/>
        <v/>
      </c>
      <c r="Q58" s="102" t="str">
        <f t="shared" si="2"/>
        <v/>
      </c>
      <c r="R58" s="99"/>
      <c r="S58" s="94"/>
      <c r="T58" s="100"/>
      <c r="U58" s="96">
        <f t="shared" si="12"/>
        <v>0</v>
      </c>
      <c r="V58" s="101" t="str">
        <f t="shared" si="4"/>
        <v/>
      </c>
      <c r="W58" s="102" t="str">
        <f t="shared" si="5"/>
        <v/>
      </c>
      <c r="X58" s="99"/>
      <c r="Y58" s="94"/>
      <c r="Z58" s="100"/>
      <c r="AA58" s="96">
        <f t="shared" si="13"/>
        <v>0</v>
      </c>
      <c r="AB58" s="101" t="str">
        <f t="shared" si="7"/>
        <v/>
      </c>
      <c r="AC58" s="102" t="str">
        <f t="shared" si="8"/>
        <v/>
      </c>
    </row>
    <row r="59" spans="1:29">
      <c r="A59" s="92"/>
      <c r="B59" s="103" t="str">
        <f>[3]!ArticleCode(Art_04.)</f>
        <v>04.</v>
      </c>
      <c r="C59" s="134" t="str">
        <f>[3]!ArticleDescription(Art_04.)</f>
        <v>GEBOUWPRESTATIES</v>
      </c>
      <c r="D59" s="94"/>
      <c r="E59" s="94"/>
      <c r="F59" s="94"/>
      <c r="G59" s="94"/>
      <c r="H59" s="96"/>
      <c r="I59" s="96"/>
      <c r="J59" s="97"/>
      <c r="K59" s="98"/>
      <c r="L59" s="99"/>
      <c r="M59" s="94"/>
      <c r="N59" s="100"/>
      <c r="O59" s="96">
        <f t="shared" si="11"/>
        <v>0</v>
      </c>
      <c r="P59" s="101" t="str">
        <f t="shared" si="1"/>
        <v/>
      </c>
      <c r="Q59" s="102" t="str">
        <f t="shared" si="2"/>
        <v/>
      </c>
      <c r="R59" s="99"/>
      <c r="S59" s="94"/>
      <c r="T59" s="100"/>
      <c r="U59" s="96">
        <f t="shared" si="12"/>
        <v>0</v>
      </c>
      <c r="V59" s="101" t="str">
        <f t="shared" si="4"/>
        <v/>
      </c>
      <c r="W59" s="102" t="str">
        <f t="shared" si="5"/>
        <v/>
      </c>
      <c r="X59" s="99"/>
      <c r="Y59" s="94"/>
      <c r="Z59" s="100"/>
      <c r="AA59" s="96">
        <f t="shared" si="13"/>
        <v>0</v>
      </c>
      <c r="AB59" s="101" t="str">
        <f t="shared" si="7"/>
        <v/>
      </c>
      <c r="AC59" s="102" t="str">
        <f t="shared" si="8"/>
        <v/>
      </c>
    </row>
    <row r="60" spans="1:29">
      <c r="A60" s="92"/>
      <c r="B60" s="103" t="str">
        <f>[3]!ArticleCode(Art_04.00.)</f>
        <v>04.00.</v>
      </c>
      <c r="C60" s="134" t="str">
        <f>[3]!ArticleDescription(Art_04.00.)</f>
        <v>gebouwprestaties - algemeen</v>
      </c>
      <c r="D60" s="94"/>
      <c r="E60" s="94"/>
      <c r="F60" s="94"/>
      <c r="G60" s="94"/>
      <c r="H60" s="96"/>
      <c r="I60" s="96"/>
      <c r="J60" s="97"/>
      <c r="K60" s="98"/>
      <c r="L60" s="99"/>
      <c r="M60" s="94"/>
      <c r="N60" s="100"/>
      <c r="O60" s="96">
        <f t="shared" si="11"/>
        <v>0</v>
      </c>
      <c r="P60" s="101" t="str">
        <f t="shared" si="1"/>
        <v/>
      </c>
      <c r="Q60" s="102" t="str">
        <f t="shared" si="2"/>
        <v/>
      </c>
      <c r="R60" s="99"/>
      <c r="S60" s="94"/>
      <c r="T60" s="100"/>
      <c r="U60" s="96">
        <f t="shared" si="12"/>
        <v>0</v>
      </c>
      <c r="V60" s="101" t="str">
        <f t="shared" si="4"/>
        <v/>
      </c>
      <c r="W60" s="102" t="str">
        <f t="shared" si="5"/>
        <v/>
      </c>
      <c r="X60" s="99"/>
      <c r="Y60" s="94"/>
      <c r="Z60" s="100"/>
      <c r="AA60" s="96">
        <f t="shared" si="13"/>
        <v>0</v>
      </c>
      <c r="AB60" s="101" t="str">
        <f t="shared" si="7"/>
        <v/>
      </c>
      <c r="AC60" s="102" t="str">
        <f t="shared" si="8"/>
        <v/>
      </c>
    </row>
    <row r="61" spans="1:29">
      <c r="A61" s="92">
        <f>A55+1</f>
        <v>22</v>
      </c>
      <c r="B61" s="103" t="str">
        <f>[3]!ArticleCode(Art_04.20.)</f>
        <v>04.20.</v>
      </c>
      <c r="C61" s="134" t="str">
        <f>[3]!ArticleDescription(Art_04.20.)</f>
        <v>luchtdichtheid - algemeen</v>
      </c>
      <c r="D61" s="94" t="str">
        <f>[3]!ArticleMeasureType(Art_04.20.)</f>
        <v>PM</v>
      </c>
      <c r="E61" s="94" t="str">
        <f>[3]!ArticleMeasureUnit(Art_04.20.)</f>
        <v/>
      </c>
      <c r="F61" s="104" t="str">
        <f>[3]!ArticleQuantity(Art_04.20.)</f>
        <v/>
      </c>
      <c r="G61" s="94"/>
      <c r="H61" s="96"/>
      <c r="I61" s="96">
        <f>IF(RIGHT($D61,1)="-","************",ROUND(IF(NOT(ISNUMBER(G61)),IF(NOT(ISNUMBER(F61)),1,F61),G61)*H61,2))</f>
        <v>0</v>
      </c>
      <c r="J61" s="97"/>
      <c r="K61" s="98"/>
      <c r="L61" s="99"/>
      <c r="M61" s="94"/>
      <c r="N61" s="100"/>
      <c r="O61" s="96">
        <f t="shared" si="11"/>
        <v>0</v>
      </c>
      <c r="P61" s="101" t="str">
        <f t="shared" si="1"/>
        <v/>
      </c>
      <c r="Q61" s="102" t="str">
        <f t="shared" si="2"/>
        <v/>
      </c>
      <c r="R61" s="99"/>
      <c r="S61" s="94"/>
      <c r="T61" s="100"/>
      <c r="U61" s="96">
        <f t="shared" si="12"/>
        <v>0</v>
      </c>
      <c r="V61" s="101" t="str">
        <f t="shared" si="4"/>
        <v/>
      </c>
      <c r="W61" s="102" t="str">
        <f t="shared" si="5"/>
        <v/>
      </c>
      <c r="X61" s="99"/>
      <c r="Y61" s="94"/>
      <c r="Z61" s="100"/>
      <c r="AA61" s="96">
        <f t="shared" si="13"/>
        <v>0</v>
      </c>
      <c r="AB61" s="101" t="str">
        <f t="shared" si="7"/>
        <v/>
      </c>
      <c r="AC61" s="102" t="str">
        <f t="shared" si="8"/>
        <v/>
      </c>
    </row>
    <row r="62" spans="1:29">
      <c r="A62" s="92">
        <f>A61+1</f>
        <v>23</v>
      </c>
      <c r="B62" s="103" t="str">
        <f>[3]!ArticleCode(Art_04.30.)</f>
        <v>04.30.</v>
      </c>
      <c r="C62" s="134" t="str">
        <f>[3]!ArticleDescription(Art_04.30.)</f>
        <v>akoestiek - algemeen</v>
      </c>
      <c r="D62" s="94" t="str">
        <f>[3]!ArticleMeasureType(Art_04.30.)</f>
        <v>PM</v>
      </c>
      <c r="E62" s="94" t="str">
        <f>[3]!ArticleMeasureUnit(Art_04.30.)</f>
        <v/>
      </c>
      <c r="F62" s="104" t="str">
        <f>[3]!ArticleQuantity(Art_04.30.)</f>
        <v/>
      </c>
      <c r="G62" s="94"/>
      <c r="H62" s="96"/>
      <c r="I62" s="96">
        <f>IF(RIGHT($D62,1)="-","************",ROUND(IF(NOT(ISNUMBER(G62)),IF(NOT(ISNUMBER(F62)),1,F62),G62)*H62,2))</f>
        <v>0</v>
      </c>
      <c r="J62" s="97"/>
      <c r="K62" s="98"/>
      <c r="L62" s="99"/>
      <c r="M62" s="94"/>
      <c r="N62" s="100"/>
      <c r="O62" s="96">
        <f t="shared" si="11"/>
        <v>0</v>
      </c>
      <c r="P62" s="101" t="str">
        <f t="shared" si="1"/>
        <v/>
      </c>
      <c r="Q62" s="102" t="str">
        <f t="shared" si="2"/>
        <v/>
      </c>
      <c r="R62" s="99"/>
      <c r="S62" s="94"/>
      <c r="T62" s="100"/>
      <c r="U62" s="96">
        <f t="shared" si="12"/>
        <v>0</v>
      </c>
      <c r="V62" s="101" t="str">
        <f t="shared" si="4"/>
        <v/>
      </c>
      <c r="W62" s="102" t="str">
        <f t="shared" si="5"/>
        <v/>
      </c>
      <c r="X62" s="99"/>
      <c r="Y62" s="94"/>
      <c r="Z62" s="100"/>
      <c r="AA62" s="96">
        <f t="shared" si="13"/>
        <v>0</v>
      </c>
      <c r="AB62" s="101" t="str">
        <f t="shared" si="7"/>
        <v/>
      </c>
      <c r="AC62" s="102" t="str">
        <f t="shared" si="8"/>
        <v/>
      </c>
    </row>
    <row r="63" spans="1:29">
      <c r="A63" s="92">
        <f>A62+1</f>
        <v>24</v>
      </c>
      <c r="B63" s="103" t="str">
        <f>[3]!ArticleCode(Art_04.40.)</f>
        <v>04.40.</v>
      </c>
      <c r="C63" s="134" t="str">
        <f>[3]!ArticleDescription(Art_04.40.)</f>
        <v>brandveiligheid - algemeen</v>
      </c>
      <c r="D63" s="94" t="str">
        <f>[3]!ArticleMeasureType(Art_04.40.)</f>
        <v>PM</v>
      </c>
      <c r="E63" s="94" t="str">
        <f>[3]!ArticleMeasureUnit(Art_04.40.)</f>
        <v/>
      </c>
      <c r="F63" s="104" t="str">
        <f>[3]!ArticleQuantity(Art_04.40.)</f>
        <v/>
      </c>
      <c r="G63" s="94"/>
      <c r="H63" s="96"/>
      <c r="I63" s="96">
        <f>IF(RIGHT($D63,1)="-","************",ROUND(IF(NOT(ISNUMBER(G63)),IF(NOT(ISNUMBER(F63)),1,F63),G63)*H63,2))</f>
        <v>0</v>
      </c>
      <c r="J63" s="97"/>
      <c r="K63" s="98"/>
      <c r="L63" s="99"/>
      <c r="M63" s="94"/>
      <c r="N63" s="100"/>
      <c r="O63" s="96">
        <f t="shared" si="11"/>
        <v>0</v>
      </c>
      <c r="P63" s="101" t="str">
        <f t="shared" si="1"/>
        <v/>
      </c>
      <c r="Q63" s="102" t="str">
        <f t="shared" si="2"/>
        <v/>
      </c>
      <c r="R63" s="99"/>
      <c r="S63" s="94"/>
      <c r="T63" s="100"/>
      <c r="U63" s="96">
        <f t="shared" si="12"/>
        <v>0</v>
      </c>
      <c r="V63" s="101" t="str">
        <f t="shared" si="4"/>
        <v/>
      </c>
      <c r="W63" s="102" t="str">
        <f t="shared" si="5"/>
        <v/>
      </c>
      <c r="X63" s="99"/>
      <c r="Y63" s="94"/>
      <c r="Z63" s="100"/>
      <c r="AA63" s="96">
        <f t="shared" si="13"/>
        <v>0</v>
      </c>
      <c r="AB63" s="101" t="str">
        <f t="shared" si="7"/>
        <v/>
      </c>
      <c r="AC63" s="102" t="str">
        <f t="shared" si="8"/>
        <v/>
      </c>
    </row>
    <row r="64" spans="1:29">
      <c r="A64" s="92"/>
      <c r="B64" s="105"/>
      <c r="C64" s="106"/>
      <c r="D64" s="107"/>
      <c r="E64" s="106"/>
      <c r="F64" s="106"/>
      <c r="G64" s="106"/>
      <c r="H64" s="108"/>
      <c r="I64" s="108"/>
      <c r="J64" s="109">
        <f>SUBTOTAL(9,I59:I63)</f>
        <v>0</v>
      </c>
      <c r="K64" s="98"/>
      <c r="L64" s="99"/>
      <c r="M64" s="94"/>
      <c r="N64" s="100"/>
      <c r="O64" s="96">
        <f t="shared" si="11"/>
        <v>0</v>
      </c>
      <c r="P64" s="101" t="str">
        <f t="shared" si="1"/>
        <v/>
      </c>
      <c r="Q64" s="102" t="str">
        <f t="shared" si="2"/>
        <v/>
      </c>
      <c r="R64" s="99"/>
      <c r="S64" s="94"/>
      <c r="T64" s="100"/>
      <c r="U64" s="96">
        <f t="shared" si="12"/>
        <v>0</v>
      </c>
      <c r="V64" s="101" t="str">
        <f t="shared" si="4"/>
        <v/>
      </c>
      <c r="W64" s="102" t="str">
        <f t="shared" si="5"/>
        <v/>
      </c>
      <c r="X64" s="99"/>
      <c r="Y64" s="94"/>
      <c r="Z64" s="100"/>
      <c r="AA64" s="96">
        <f t="shared" si="13"/>
        <v>0</v>
      </c>
      <c r="AB64" s="101" t="str">
        <f t="shared" si="7"/>
        <v/>
      </c>
      <c r="AC64" s="102" t="str">
        <f t="shared" si="8"/>
        <v/>
      </c>
    </row>
    <row r="65" spans="1:29">
      <c r="A65" s="92"/>
      <c r="B65" s="110"/>
      <c r="C65" s="94"/>
      <c r="D65" s="94"/>
      <c r="E65" s="94"/>
      <c r="F65" s="94"/>
      <c r="G65" s="94"/>
      <c r="H65" s="96"/>
      <c r="I65" s="96"/>
      <c r="J65" s="97"/>
      <c r="K65" s="98"/>
      <c r="L65" s="99"/>
      <c r="M65" s="94"/>
      <c r="N65" s="100"/>
      <c r="O65" s="96">
        <f t="shared" si="11"/>
        <v>0</v>
      </c>
      <c r="P65" s="101" t="str">
        <f t="shared" si="1"/>
        <v/>
      </c>
      <c r="Q65" s="102" t="str">
        <f t="shared" si="2"/>
        <v/>
      </c>
      <c r="R65" s="99"/>
      <c r="S65" s="94"/>
      <c r="T65" s="100"/>
      <c r="U65" s="96">
        <f t="shared" si="12"/>
        <v>0</v>
      </c>
      <c r="V65" s="101" t="str">
        <f t="shared" si="4"/>
        <v/>
      </c>
      <c r="W65" s="102" t="str">
        <f t="shared" si="5"/>
        <v/>
      </c>
      <c r="X65" s="99"/>
      <c r="Y65" s="94"/>
      <c r="Z65" s="100"/>
      <c r="AA65" s="96">
        <f t="shared" si="13"/>
        <v>0</v>
      </c>
      <c r="AB65" s="101" t="str">
        <f t="shared" si="7"/>
        <v/>
      </c>
      <c r="AC65" s="102" t="str">
        <f t="shared" si="8"/>
        <v/>
      </c>
    </row>
    <row r="66" spans="1:29">
      <c r="A66" s="92"/>
      <c r="B66" s="93" t="s">
        <v>47</v>
      </c>
      <c r="C66" s="94"/>
      <c r="D66" s="95"/>
      <c r="E66" s="94"/>
      <c r="F66" s="94"/>
      <c r="G66" s="94"/>
      <c r="H66" s="96"/>
      <c r="I66" s="96"/>
      <c r="J66" s="97"/>
      <c r="K66" s="98"/>
      <c r="L66" s="99"/>
      <c r="M66" s="94"/>
      <c r="N66" s="100"/>
      <c r="O66" s="96">
        <f t="shared" si="11"/>
        <v>0</v>
      </c>
      <c r="P66" s="101" t="str">
        <f t="shared" si="1"/>
        <v/>
      </c>
      <c r="Q66" s="102" t="str">
        <f t="shared" si="2"/>
        <v/>
      </c>
      <c r="R66" s="99"/>
      <c r="S66" s="94"/>
      <c r="T66" s="100"/>
      <c r="U66" s="96">
        <f t="shared" si="12"/>
        <v>0</v>
      </c>
      <c r="V66" s="101" t="str">
        <f t="shared" si="4"/>
        <v/>
      </c>
      <c r="W66" s="102" t="str">
        <f t="shared" si="5"/>
        <v/>
      </c>
      <c r="X66" s="99"/>
      <c r="Y66" s="94"/>
      <c r="Z66" s="100"/>
      <c r="AA66" s="96">
        <f t="shared" si="13"/>
        <v>0</v>
      </c>
      <c r="AB66" s="101" t="str">
        <f t="shared" si="7"/>
        <v/>
      </c>
      <c r="AC66" s="102" t="str">
        <f t="shared" si="8"/>
        <v/>
      </c>
    </row>
    <row r="67" spans="1:29">
      <c r="A67" s="92"/>
      <c r="B67" s="103" t="str">
        <f>[3]!ArticleCode(Art_40.)</f>
        <v>40.</v>
      </c>
      <c r="C67" s="134" t="str">
        <f>[3]!ArticleDescription(Art_40.)</f>
        <v>BUITENSCHRIJNWERK</v>
      </c>
      <c r="D67" s="94"/>
      <c r="E67" s="94"/>
      <c r="F67" s="94"/>
      <c r="G67" s="94"/>
      <c r="H67" s="96"/>
      <c r="I67" s="96"/>
      <c r="J67" s="97"/>
      <c r="K67" s="98"/>
      <c r="L67" s="99"/>
      <c r="M67" s="94"/>
      <c r="N67" s="100"/>
      <c r="O67" s="96">
        <f t="shared" si="11"/>
        <v>0</v>
      </c>
      <c r="P67" s="101" t="str">
        <f t="shared" si="1"/>
        <v/>
      </c>
      <c r="Q67" s="102" t="str">
        <f t="shared" si="2"/>
        <v/>
      </c>
      <c r="R67" s="99"/>
      <c r="S67" s="94"/>
      <c r="T67" s="100"/>
      <c r="U67" s="96">
        <f t="shared" si="12"/>
        <v>0</v>
      </c>
      <c r="V67" s="101" t="str">
        <f t="shared" si="4"/>
        <v/>
      </c>
      <c r="W67" s="102" t="str">
        <f t="shared" si="5"/>
        <v/>
      </c>
      <c r="X67" s="99"/>
      <c r="Y67" s="94"/>
      <c r="Z67" s="100"/>
      <c r="AA67" s="96">
        <f t="shared" si="13"/>
        <v>0</v>
      </c>
      <c r="AB67" s="101" t="str">
        <f t="shared" si="7"/>
        <v/>
      </c>
      <c r="AC67" s="102" t="str">
        <f t="shared" si="8"/>
        <v/>
      </c>
    </row>
    <row r="68" spans="1:29">
      <c r="A68" s="92"/>
      <c r="B68" s="103" t="str">
        <f>[3]!ArticleCode(Art_40.00.)</f>
        <v>40.00.</v>
      </c>
      <c r="C68" s="134" t="str">
        <f>[3]!ArticleDescription(Art_40.00.)</f>
        <v>buitenschrijnwerk - algemeen</v>
      </c>
      <c r="D68" s="94"/>
      <c r="E68" s="94"/>
      <c r="F68" s="94"/>
      <c r="G68" s="94"/>
      <c r="H68" s="96"/>
      <c r="I68" s="96"/>
      <c r="J68" s="97"/>
      <c r="K68" s="98"/>
      <c r="L68" s="99"/>
      <c r="M68" s="94"/>
      <c r="N68" s="100"/>
      <c r="O68" s="96">
        <f t="shared" si="11"/>
        <v>0</v>
      </c>
      <c r="P68" s="101" t="str">
        <f t="shared" si="1"/>
        <v/>
      </c>
      <c r="Q68" s="102" t="str">
        <f t="shared" si="2"/>
        <v/>
      </c>
      <c r="R68" s="99"/>
      <c r="S68" s="94"/>
      <c r="T68" s="100"/>
      <c r="U68" s="96">
        <f t="shared" si="12"/>
        <v>0</v>
      </c>
      <c r="V68" s="101" t="str">
        <f t="shared" si="4"/>
        <v/>
      </c>
      <c r="W68" s="102" t="str">
        <f t="shared" si="5"/>
        <v/>
      </c>
      <c r="X68" s="99"/>
      <c r="Y68" s="94"/>
      <c r="Z68" s="100"/>
      <c r="AA68" s="96">
        <f t="shared" si="13"/>
        <v>0</v>
      </c>
      <c r="AB68" s="101" t="str">
        <f t="shared" si="7"/>
        <v/>
      </c>
      <c r="AC68" s="102" t="str">
        <f t="shared" si="8"/>
        <v/>
      </c>
    </row>
    <row r="69" spans="1:29">
      <c r="A69" s="92"/>
      <c r="B69" s="103" t="str">
        <f>[3]!ArticleCode(Art_40.01.)</f>
        <v>40.01.</v>
      </c>
      <c r="C69" s="134" t="str">
        <f>[3]!ArticleDescription(Art_40.01.)</f>
        <v>buitenschrijnwerk - prestaties</v>
      </c>
      <c r="D69" s="94"/>
      <c r="E69" s="94"/>
      <c r="F69" s="94"/>
      <c r="G69" s="94"/>
      <c r="H69" s="96"/>
      <c r="I69" s="96"/>
      <c r="J69" s="97"/>
      <c r="K69" s="98"/>
      <c r="L69" s="99"/>
      <c r="M69" s="94"/>
      <c r="N69" s="100"/>
      <c r="O69" s="96">
        <f t="shared" si="11"/>
        <v>0</v>
      </c>
      <c r="P69" s="101" t="str">
        <f t="shared" si="1"/>
        <v/>
      </c>
      <c r="Q69" s="102" t="str">
        <f t="shared" si="2"/>
        <v/>
      </c>
      <c r="R69" s="99"/>
      <c r="S69" s="94"/>
      <c r="T69" s="100"/>
      <c r="U69" s="96">
        <f t="shared" si="12"/>
        <v>0</v>
      </c>
      <c r="V69" s="101" t="str">
        <f t="shared" si="4"/>
        <v/>
      </c>
      <c r="W69" s="102" t="str">
        <f t="shared" si="5"/>
        <v/>
      </c>
      <c r="X69" s="99"/>
      <c r="Y69" s="94"/>
      <c r="Z69" s="100"/>
      <c r="AA69" s="96">
        <f t="shared" si="13"/>
        <v>0</v>
      </c>
      <c r="AB69" s="101" t="str">
        <f t="shared" si="7"/>
        <v/>
      </c>
      <c r="AC69" s="102" t="str">
        <f t="shared" si="8"/>
        <v/>
      </c>
    </row>
    <row r="70" spans="1:29">
      <c r="A70" s="92"/>
      <c r="B70" s="103" t="str">
        <f>[3]!ArticleCode(Art_40.02.)</f>
        <v>40.02.</v>
      </c>
      <c r="C70" s="134" t="str">
        <f>[3]!ArticleDescription(Art_40.02.)</f>
        <v>buitenschrijnwerk - proeven</v>
      </c>
      <c r="D70" s="94"/>
      <c r="E70" s="94"/>
      <c r="F70" s="94"/>
      <c r="G70" s="94"/>
      <c r="H70" s="96"/>
      <c r="I70" s="96"/>
      <c r="J70" s="97"/>
      <c r="K70" s="98"/>
      <c r="L70" s="99"/>
      <c r="M70" s="94"/>
      <c r="N70" s="100"/>
      <c r="O70" s="96">
        <f t="shared" si="11"/>
        <v>0</v>
      </c>
      <c r="P70" s="101" t="str">
        <f t="shared" si="1"/>
        <v/>
      </c>
      <c r="Q70" s="102" t="str">
        <f t="shared" si="2"/>
        <v/>
      </c>
      <c r="R70" s="99"/>
      <c r="S70" s="94"/>
      <c r="T70" s="100"/>
      <c r="U70" s="96">
        <f t="shared" si="12"/>
        <v>0</v>
      </c>
      <c r="V70" s="101" t="str">
        <f t="shared" si="4"/>
        <v/>
      </c>
      <c r="W70" s="102" t="str">
        <f t="shared" si="5"/>
        <v/>
      </c>
      <c r="X70" s="99"/>
      <c r="Y70" s="94"/>
      <c r="Z70" s="100"/>
      <c r="AA70" s="96">
        <f t="shared" si="13"/>
        <v>0</v>
      </c>
      <c r="AB70" s="101" t="str">
        <f t="shared" si="7"/>
        <v/>
      </c>
      <c r="AC70" s="102" t="str">
        <f t="shared" si="8"/>
        <v/>
      </c>
    </row>
    <row r="71" spans="1:29">
      <c r="A71" s="92">
        <f>A63+1</f>
        <v>25</v>
      </c>
      <c r="B71" s="103" t="str">
        <f>[3]!ArticleCode(Art_40.02.10.)</f>
        <v>40.02.10.</v>
      </c>
      <c r="C71" s="134" t="str">
        <f>[3]!ArticleDescription(Art_40.02.10.)</f>
        <v>buitenschrijnwerk - proeven/op kosten ongelijk</v>
      </c>
      <c r="D71" s="94" t="str">
        <f>[3]!ArticleMeasureType(Art_40.02.10.)</f>
        <v>PM</v>
      </c>
      <c r="E71" s="94" t="str">
        <f>[3]!ArticleMeasureUnit(Art_40.02.10.)</f>
        <v/>
      </c>
      <c r="F71" s="104" t="str">
        <f>[3]!ArticleQuantity(Art_40.02.10.)</f>
        <v/>
      </c>
      <c r="G71" s="94"/>
      <c r="H71" s="96"/>
      <c r="I71" s="96">
        <f>IF(RIGHT($D71,1)="-","************",ROUND(IF(NOT(ISNUMBER(G71)),IF(NOT(ISNUMBER(F71)),1,F71),G71)*H71,2))</f>
        <v>0</v>
      </c>
      <c r="J71" s="97"/>
      <c r="K71" s="98"/>
      <c r="L71" s="99"/>
      <c r="M71" s="94"/>
      <c r="N71" s="100"/>
      <c r="O71" s="96">
        <f t="shared" si="11"/>
        <v>0</v>
      </c>
      <c r="P71" s="101" t="str">
        <f t="shared" si="1"/>
        <v/>
      </c>
      <c r="Q71" s="102" t="str">
        <f t="shared" si="2"/>
        <v/>
      </c>
      <c r="R71" s="99"/>
      <c r="S71" s="94"/>
      <c r="T71" s="100"/>
      <c r="U71" s="96">
        <f t="shared" si="12"/>
        <v>0</v>
      </c>
      <c r="V71" s="101" t="str">
        <f t="shared" si="4"/>
        <v/>
      </c>
      <c r="W71" s="102" t="str">
        <f t="shared" si="5"/>
        <v/>
      </c>
      <c r="X71" s="99"/>
      <c r="Y71" s="94"/>
      <c r="Z71" s="100"/>
      <c r="AA71" s="96">
        <f t="shared" si="13"/>
        <v>0</v>
      </c>
      <c r="AB71" s="101" t="str">
        <f t="shared" si="7"/>
        <v/>
      </c>
      <c r="AC71" s="102" t="str">
        <f t="shared" si="8"/>
        <v/>
      </c>
    </row>
    <row r="72" spans="1:29">
      <c r="A72" s="92"/>
      <c r="B72" s="103" t="str">
        <f>[3]!ArticleCode(Art_40.03.)</f>
        <v>40.03.</v>
      </c>
      <c r="C72" s="134" t="str">
        <f>[3]!ArticleDescription(Art_40.03.)</f>
        <v>buitenschrijnwerk - montage</v>
      </c>
      <c r="D72" s="94"/>
      <c r="E72" s="94"/>
      <c r="F72" s="94"/>
      <c r="G72" s="94"/>
      <c r="H72" s="96"/>
      <c r="I72" s="96"/>
      <c r="J72" s="97"/>
      <c r="K72" s="98"/>
      <c r="L72" s="99"/>
      <c r="M72" s="94"/>
      <c r="N72" s="100"/>
      <c r="O72" s="96">
        <f t="shared" si="11"/>
        <v>0</v>
      </c>
      <c r="P72" s="101" t="str">
        <f t="shared" si="1"/>
        <v/>
      </c>
      <c r="Q72" s="102" t="str">
        <f t="shared" si="2"/>
        <v/>
      </c>
      <c r="R72" s="99"/>
      <c r="S72" s="94"/>
      <c r="T72" s="100"/>
      <c r="U72" s="96">
        <f t="shared" si="12"/>
        <v>0</v>
      </c>
      <c r="V72" s="101" t="str">
        <f t="shared" si="4"/>
        <v/>
      </c>
      <c r="W72" s="102" t="str">
        <f t="shared" si="5"/>
        <v/>
      </c>
      <c r="X72" s="99"/>
      <c r="Y72" s="94"/>
      <c r="Z72" s="100"/>
      <c r="AA72" s="96">
        <f t="shared" si="13"/>
        <v>0</v>
      </c>
      <c r="AB72" s="101" t="str">
        <f t="shared" si="7"/>
        <v/>
      </c>
      <c r="AC72" s="102" t="str">
        <f t="shared" si="8"/>
        <v/>
      </c>
    </row>
    <row r="73" spans="1:29">
      <c r="A73" s="92">
        <f>A71+1</f>
        <v>26</v>
      </c>
      <c r="B73" s="103" t="str">
        <f>[3]!ArticleCode(Art_40.03.10.)</f>
        <v>40.03.10.</v>
      </c>
      <c r="C73" s="134" t="str">
        <f>[3]!ArticleDescription(Art_40.03.10.)</f>
        <v>buitenschrijnwerk - montage/spouwconstructie en dorpel</v>
      </c>
      <c r="D73" s="94" t="str">
        <f>[3]!ArticleMeasureType(Art_40.03.10.)</f>
        <v>PM</v>
      </c>
      <c r="E73" s="94" t="str">
        <f>[3]!ArticleMeasureUnit(Art_40.03.10.)</f>
        <v/>
      </c>
      <c r="F73" s="104" t="str">
        <f>[3]!ArticleQuantity(Art_40.03.10.)</f>
        <v/>
      </c>
      <c r="G73" s="94"/>
      <c r="H73" s="96"/>
      <c r="I73" s="96">
        <f>IF(RIGHT($D73,1)="-","************",ROUND(IF(NOT(ISNUMBER(G73)),IF(NOT(ISNUMBER(F73)),1,F73),G73)*H73,2))</f>
        <v>0</v>
      </c>
      <c r="J73" s="97"/>
      <c r="K73" s="98"/>
      <c r="L73" s="99"/>
      <c r="M73" s="94"/>
      <c r="N73" s="100"/>
      <c r="O73" s="96">
        <f t="shared" si="11"/>
        <v>0</v>
      </c>
      <c r="P73" s="101" t="str">
        <f t="shared" si="1"/>
        <v/>
      </c>
      <c r="Q73" s="102" t="str">
        <f t="shared" si="2"/>
        <v/>
      </c>
      <c r="R73" s="99"/>
      <c r="S73" s="94"/>
      <c r="T73" s="100"/>
      <c r="U73" s="96">
        <f t="shared" si="12"/>
        <v>0</v>
      </c>
      <c r="V73" s="101" t="str">
        <f t="shared" si="4"/>
        <v/>
      </c>
      <c r="W73" s="102" t="str">
        <f t="shared" si="5"/>
        <v/>
      </c>
      <c r="X73" s="99"/>
      <c r="Y73" s="94"/>
      <c r="Z73" s="100"/>
      <c r="AA73" s="96">
        <f t="shared" si="13"/>
        <v>0</v>
      </c>
      <c r="AB73" s="101" t="str">
        <f t="shared" si="7"/>
        <v/>
      </c>
      <c r="AC73" s="102" t="str">
        <f t="shared" si="8"/>
        <v/>
      </c>
    </row>
    <row r="74" spans="1:29">
      <c r="A74" s="92"/>
      <c r="B74" s="103" t="str">
        <f>[3]!ArticleCode(Art_40.04.)</f>
        <v>40.04.</v>
      </c>
      <c r="C74" s="134" t="str">
        <f>[3]!ArticleDescription(Art_40.04.)</f>
        <v>buitenschrijnwerk – borderel</v>
      </c>
      <c r="D74" s="94"/>
      <c r="E74" s="94"/>
      <c r="F74" s="94"/>
      <c r="G74" s="94"/>
      <c r="H74" s="96"/>
      <c r="I74" s="96"/>
      <c r="J74" s="97"/>
      <c r="K74" s="98"/>
      <c r="L74" s="99"/>
      <c r="M74" s="94"/>
      <c r="N74" s="100"/>
      <c r="O74" s="96">
        <f t="shared" si="11"/>
        <v>0</v>
      </c>
      <c r="P74" s="101" t="str">
        <f t="shared" si="1"/>
        <v/>
      </c>
      <c r="Q74" s="102" t="str">
        <f t="shared" si="2"/>
        <v/>
      </c>
      <c r="R74" s="99"/>
      <c r="S74" s="94"/>
      <c r="T74" s="100"/>
      <c r="U74" s="96">
        <f t="shared" si="12"/>
        <v>0</v>
      </c>
      <c r="V74" s="101" t="str">
        <f t="shared" si="4"/>
        <v/>
      </c>
      <c r="W74" s="102" t="str">
        <f t="shared" si="5"/>
        <v/>
      </c>
      <c r="X74" s="99"/>
      <c r="Y74" s="94"/>
      <c r="Z74" s="100"/>
      <c r="AA74" s="96">
        <f t="shared" si="13"/>
        <v>0</v>
      </c>
      <c r="AB74" s="101" t="str">
        <f t="shared" si="7"/>
        <v/>
      </c>
      <c r="AC74" s="102" t="str">
        <f t="shared" si="8"/>
        <v/>
      </c>
    </row>
    <row r="75" spans="1:29">
      <c r="A75" s="92"/>
      <c r="B75" s="103" t="str">
        <f>[3]!ArticleCode(Art_40.10.)</f>
        <v>40.10.</v>
      </c>
      <c r="C75" s="134" t="str">
        <f>[3]!ArticleDescription(Art_40.10.)</f>
        <v>profielsystemen - algemeen</v>
      </c>
      <c r="D75" s="94"/>
      <c r="E75" s="94"/>
      <c r="F75" s="94"/>
      <c r="G75" s="94"/>
      <c r="H75" s="96"/>
      <c r="I75" s="96"/>
      <c r="J75" s="97"/>
      <c r="K75" s="98"/>
      <c r="L75" s="99"/>
      <c r="M75" s="94"/>
      <c r="N75" s="100"/>
      <c r="O75" s="96">
        <f t="shared" si="11"/>
        <v>0</v>
      </c>
      <c r="P75" s="101" t="str">
        <f t="shared" si="1"/>
        <v/>
      </c>
      <c r="Q75" s="102" t="str">
        <f t="shared" si="2"/>
        <v/>
      </c>
      <c r="R75" s="99"/>
      <c r="S75" s="94"/>
      <c r="T75" s="100"/>
      <c r="U75" s="96">
        <f t="shared" si="12"/>
        <v>0</v>
      </c>
      <c r="V75" s="101" t="str">
        <f t="shared" si="4"/>
        <v/>
      </c>
      <c r="W75" s="102" t="str">
        <f t="shared" si="5"/>
        <v/>
      </c>
      <c r="X75" s="99"/>
      <c r="Y75" s="94"/>
      <c r="Z75" s="100"/>
      <c r="AA75" s="96">
        <f t="shared" si="13"/>
        <v>0</v>
      </c>
      <c r="AB75" s="101" t="str">
        <f t="shared" si="7"/>
        <v/>
      </c>
      <c r="AC75" s="102" t="str">
        <f t="shared" si="8"/>
        <v/>
      </c>
    </row>
    <row r="76" spans="1:29">
      <c r="A76" s="92"/>
      <c r="B76" s="103" t="str">
        <f>[3]!ArticleCode(Art_40.12.)</f>
        <v>40.12.</v>
      </c>
      <c r="C76" s="134" t="str">
        <f>[3]!ArticleDescription(Art_40.12.)</f>
        <v>profielsysteem – aluminium (incl. luchtdichtheidslabben)</v>
      </c>
      <c r="D76" s="94"/>
      <c r="E76" s="94"/>
      <c r="F76" s="94"/>
      <c r="G76" s="94"/>
      <c r="H76" s="96"/>
      <c r="I76" s="96"/>
      <c r="J76" s="97"/>
      <c r="K76" s="98"/>
      <c r="L76" s="99"/>
      <c r="M76" s="94"/>
      <c r="N76" s="100"/>
      <c r="O76" s="96">
        <f t="shared" si="11"/>
        <v>0</v>
      </c>
      <c r="P76" s="101" t="str">
        <f t="shared" si="1"/>
        <v/>
      </c>
      <c r="Q76" s="102" t="str">
        <f t="shared" si="2"/>
        <v/>
      </c>
      <c r="R76" s="99"/>
      <c r="S76" s="94"/>
      <c r="T76" s="100"/>
      <c r="U76" s="96">
        <f t="shared" si="12"/>
        <v>0</v>
      </c>
      <c r="V76" s="101" t="str">
        <f t="shared" si="4"/>
        <v/>
      </c>
      <c r="W76" s="102" t="str">
        <f t="shared" si="5"/>
        <v/>
      </c>
      <c r="X76" s="99"/>
      <c r="Y76" s="94"/>
      <c r="Z76" s="100"/>
      <c r="AA76" s="96">
        <f t="shared" si="13"/>
        <v>0</v>
      </c>
      <c r="AB76" s="101" t="str">
        <f t="shared" si="7"/>
        <v/>
      </c>
      <c r="AC76" s="102" t="str">
        <f t="shared" si="8"/>
        <v/>
      </c>
    </row>
    <row r="77" spans="1:29">
      <c r="A77" s="92"/>
      <c r="B77" s="103" t="str">
        <f>[3]!ArticleCode(Art_40.12.10)</f>
        <v>40.12.10</v>
      </c>
      <c r="C77" s="134" t="str">
        <f>[3]!ArticleDescription(Art_40.12.10)</f>
        <v>profielsystemen - aluminium/vaste ramen</v>
      </c>
      <c r="D77" s="94"/>
      <c r="E77" s="94"/>
      <c r="F77" s="94"/>
      <c r="G77" s="94"/>
      <c r="H77" s="96"/>
      <c r="I77" s="96"/>
      <c r="J77" s="97"/>
      <c r="K77" s="98"/>
      <c r="L77" s="99"/>
      <c r="M77" s="94"/>
      <c r="N77" s="100"/>
      <c r="O77" s="96">
        <f t="shared" si="11"/>
        <v>0</v>
      </c>
      <c r="P77" s="101" t="str">
        <f t="shared" si="1"/>
        <v/>
      </c>
      <c r="Q77" s="102" t="str">
        <f t="shared" si="2"/>
        <v/>
      </c>
      <c r="R77" s="99"/>
      <c r="S77" s="94"/>
      <c r="T77" s="100"/>
      <c r="U77" s="96">
        <f t="shared" si="12"/>
        <v>0</v>
      </c>
      <c r="V77" s="101" t="str">
        <f t="shared" si="4"/>
        <v/>
      </c>
      <c r="W77" s="102" t="str">
        <f t="shared" si="5"/>
        <v/>
      </c>
      <c r="X77" s="99"/>
      <c r="Y77" s="94"/>
      <c r="Z77" s="100"/>
      <c r="AA77" s="96">
        <f t="shared" si="13"/>
        <v>0</v>
      </c>
      <c r="AB77" s="101" t="str">
        <f t="shared" si="7"/>
        <v/>
      </c>
      <c r="AC77" s="102" t="str">
        <f t="shared" si="8"/>
        <v/>
      </c>
    </row>
    <row r="78" spans="1:29">
      <c r="A78" s="92">
        <f>A73+1</f>
        <v>27</v>
      </c>
      <c r="B78" s="103" t="str">
        <f>[3]!ArticleCode(Art_40.12.10.1)</f>
        <v>40.12.10.1</v>
      </c>
      <c r="C78" s="134" t="str">
        <f>[3]!ArticleDescription(Art_40.12.10.1)</f>
        <v>R0.01 &amp; R0.02  vast raam (1300 x 1340 mm)</v>
      </c>
      <c r="D78" s="94" t="str">
        <f>[3]!ArticleMeasureType(Art_40.12.10.1)</f>
        <v>FH</v>
      </c>
      <c r="E78" s="94" t="str">
        <f>[3]!ArticleMeasureUnit(Art_40.12.10.1)</f>
        <v>m2</v>
      </c>
      <c r="F78" s="111">
        <f>[3]!ArticleQuantity(Art_40.12.10.1)</f>
        <v>3.48</v>
      </c>
      <c r="G78" s="94"/>
      <c r="H78" s="96"/>
      <c r="I78" s="96">
        <f>IF(RIGHT($D78,1)="-","************",ROUND(IF(NOT(ISNUMBER(G78)),IF(NOT(ISNUMBER(F78)),1,F78),G78)*H78,2))</f>
        <v>0</v>
      </c>
      <c r="J78" s="97"/>
      <c r="K78" s="98"/>
      <c r="L78" s="99"/>
      <c r="M78" s="94"/>
      <c r="N78" s="100"/>
      <c r="O78" s="96">
        <f t="shared" ref="O78:O109" si="14">IF(MID($D78,3,1)="-","*********",ROUND(IF(NOT(ISNUMBER($G78)),IF(NOT(ISNUMBER($F78)),1,$F78),$G78)*(IF(NOT(ISNUMBER(N78)),L78,N78)),2))</f>
        <v>0</v>
      </c>
      <c r="P78" s="101" t="str">
        <f t="shared" ref="P78:P115" si="15">IF(O$116=0,"",O78/O$116)</f>
        <v/>
      </c>
      <c r="Q78" s="102" t="str">
        <f t="shared" ref="Q78:Q115" si="16">IF($K78=0,"",IF(NOT(ISNUMBER(N78)),L78,N78)/$K78-1)</f>
        <v/>
      </c>
      <c r="R78" s="99"/>
      <c r="S78" s="94"/>
      <c r="T78" s="100"/>
      <c r="U78" s="96">
        <f t="shared" ref="U78:U109" si="17">IF(MID($D78,3,1)="-","*********",ROUND(IF(NOT(ISNUMBER($G78)),IF(NOT(ISNUMBER($F78)),1,$F78),$G78)*(IF(NOT(ISNUMBER(T78)),R78,T78)),2))</f>
        <v>0</v>
      </c>
      <c r="V78" s="101" t="str">
        <f t="shared" ref="V78:V115" si="18">IF(U$116=0,"",U78/U$116)</f>
        <v/>
      </c>
      <c r="W78" s="102" t="str">
        <f t="shared" ref="W78:W115" si="19">IF($K78=0,"",IF(NOT(ISNUMBER(T78)),R78,T78)/$K78-1)</f>
        <v/>
      </c>
      <c r="X78" s="99"/>
      <c r="Y78" s="94"/>
      <c r="Z78" s="100"/>
      <c r="AA78" s="96">
        <f t="shared" ref="AA78:AA109" si="20">IF(MID($D78,3,1)="-","*********",ROUND(IF(NOT(ISNUMBER($G78)),IF(NOT(ISNUMBER($F78)),1,$F78),$G78)*(IF(NOT(ISNUMBER(Z78)),X78,Z78)),2))</f>
        <v>0</v>
      </c>
      <c r="AB78" s="101" t="str">
        <f t="shared" ref="AB78:AB115" si="21">IF(AA$116=0,"",AA78/AA$116)</f>
        <v/>
      </c>
      <c r="AC78" s="102" t="str">
        <f t="shared" ref="AC78:AC115" si="22">IF($K78=0,"",IF(NOT(ISNUMBER(Z78)),X78,Z78)/$K78-1)</f>
        <v/>
      </c>
    </row>
    <row r="79" spans="1:29">
      <c r="A79" s="92">
        <f>A78+1</f>
        <v>28</v>
      </c>
      <c r="B79" s="103" t="str">
        <f>[3]!ArticleCode(Art_40.12.10.2)</f>
        <v>40.12.10.2</v>
      </c>
      <c r="C79" s="134" t="str">
        <f>[3]!ArticleDescription(Art_40.12.10.2)</f>
        <v>R0.04  vast raam (1110 x 1340 mm)</v>
      </c>
      <c r="D79" s="94" t="str">
        <f>[3]!ArticleMeasureType(Art_40.12.10.2)</f>
        <v>FH</v>
      </c>
      <c r="E79" s="94" t="str">
        <f>[3]!ArticleMeasureUnit(Art_40.12.10.2)</f>
        <v>m2</v>
      </c>
      <c r="F79" s="111">
        <f>[3]!ArticleQuantity(Art_40.12.10.2)</f>
        <v>1.49</v>
      </c>
      <c r="G79" s="94"/>
      <c r="H79" s="96"/>
      <c r="I79" s="96">
        <f>IF(RIGHT($D79,1)="-","************",ROUND(IF(NOT(ISNUMBER(G79)),IF(NOT(ISNUMBER(F79)),1,F79),G79)*H79,2))</f>
        <v>0</v>
      </c>
      <c r="J79" s="97"/>
      <c r="K79" s="98"/>
      <c r="L79" s="99"/>
      <c r="M79" s="94"/>
      <c r="N79" s="100"/>
      <c r="O79" s="96">
        <f t="shared" si="14"/>
        <v>0</v>
      </c>
      <c r="P79" s="101" t="str">
        <f t="shared" si="15"/>
        <v/>
      </c>
      <c r="Q79" s="102" t="str">
        <f t="shared" si="16"/>
        <v/>
      </c>
      <c r="R79" s="99"/>
      <c r="S79" s="94"/>
      <c r="T79" s="100"/>
      <c r="U79" s="96">
        <f t="shared" si="17"/>
        <v>0</v>
      </c>
      <c r="V79" s="101" t="str">
        <f t="shared" si="18"/>
        <v/>
      </c>
      <c r="W79" s="102" t="str">
        <f t="shared" si="19"/>
        <v/>
      </c>
      <c r="X79" s="99"/>
      <c r="Y79" s="94"/>
      <c r="Z79" s="100"/>
      <c r="AA79" s="96">
        <f t="shared" si="20"/>
        <v>0</v>
      </c>
      <c r="AB79" s="101" t="str">
        <f t="shared" si="21"/>
        <v/>
      </c>
      <c r="AC79" s="102" t="str">
        <f t="shared" si="22"/>
        <v/>
      </c>
    </row>
    <row r="80" spans="1:29">
      <c r="A80" s="92">
        <f>A79+1</f>
        <v>29</v>
      </c>
      <c r="B80" s="103" t="str">
        <f>[3]!ArticleCode(Art_40.12.10.3)</f>
        <v>40.12.10.3</v>
      </c>
      <c r="C80" s="134" t="str">
        <f>[3]!ArticleDescription(Art_40.12.10.3)</f>
        <v>R0.06  vast raam (1480 x 1360 mm)</v>
      </c>
      <c r="D80" s="94" t="str">
        <f>[3]!ArticleMeasureType(Art_40.12.10.3)</f>
        <v>FH</v>
      </c>
      <c r="E80" s="94" t="str">
        <f>[3]!ArticleMeasureUnit(Art_40.12.10.3)</f>
        <v>m2</v>
      </c>
      <c r="F80" s="111">
        <f>[3]!ArticleQuantity(Art_40.12.10.3)</f>
        <v>2.0099999999999998</v>
      </c>
      <c r="G80" s="94"/>
      <c r="H80" s="96"/>
      <c r="I80" s="96">
        <f>IF(RIGHT($D80,1)="-","************",ROUND(IF(NOT(ISNUMBER(G80)),IF(NOT(ISNUMBER(F80)),1,F80),G80)*H80,2))</f>
        <v>0</v>
      </c>
      <c r="J80" s="97"/>
      <c r="K80" s="98"/>
      <c r="L80" s="99"/>
      <c r="M80" s="94"/>
      <c r="N80" s="100"/>
      <c r="O80" s="96">
        <f t="shared" si="14"/>
        <v>0</v>
      </c>
      <c r="P80" s="101" t="str">
        <f t="shared" si="15"/>
        <v/>
      </c>
      <c r="Q80" s="102" t="str">
        <f t="shared" si="16"/>
        <v/>
      </c>
      <c r="R80" s="99"/>
      <c r="S80" s="94"/>
      <c r="T80" s="100"/>
      <c r="U80" s="96">
        <f t="shared" si="17"/>
        <v>0</v>
      </c>
      <c r="V80" s="101" t="str">
        <f t="shared" si="18"/>
        <v/>
      </c>
      <c r="W80" s="102" t="str">
        <f t="shared" si="19"/>
        <v/>
      </c>
      <c r="X80" s="99"/>
      <c r="Y80" s="94"/>
      <c r="Z80" s="100"/>
      <c r="AA80" s="96">
        <f t="shared" si="20"/>
        <v>0</v>
      </c>
      <c r="AB80" s="101" t="str">
        <f t="shared" si="21"/>
        <v/>
      </c>
      <c r="AC80" s="102" t="str">
        <f t="shared" si="22"/>
        <v/>
      </c>
    </row>
    <row r="81" spans="1:29">
      <c r="A81" s="92"/>
      <c r="B81" s="103" t="str">
        <f>[3]!ArticleCode(Art_40.12.20)</f>
        <v>40.12.20</v>
      </c>
      <c r="C81" s="134" t="str">
        <f>[3]!ArticleDescription(Art_40.12.20)</f>
        <v>profielsystemen - aluminium/draairamen</v>
      </c>
      <c r="D81" s="94"/>
      <c r="E81" s="94"/>
      <c r="F81" s="94"/>
      <c r="G81" s="94"/>
      <c r="H81" s="96"/>
      <c r="I81" s="96"/>
      <c r="J81" s="97"/>
      <c r="K81" s="98"/>
      <c r="L81" s="99"/>
      <c r="M81" s="94"/>
      <c r="N81" s="100"/>
      <c r="O81" s="96">
        <f t="shared" si="14"/>
        <v>0</v>
      </c>
      <c r="P81" s="101" t="str">
        <f t="shared" si="15"/>
        <v/>
      </c>
      <c r="Q81" s="102" t="str">
        <f t="shared" si="16"/>
        <v/>
      </c>
      <c r="R81" s="99"/>
      <c r="S81" s="94"/>
      <c r="T81" s="100"/>
      <c r="U81" s="96">
        <f t="shared" si="17"/>
        <v>0</v>
      </c>
      <c r="V81" s="101" t="str">
        <f t="shared" si="18"/>
        <v/>
      </c>
      <c r="W81" s="102" t="str">
        <f t="shared" si="19"/>
        <v/>
      </c>
      <c r="X81" s="99"/>
      <c r="Y81" s="94"/>
      <c r="Z81" s="100"/>
      <c r="AA81" s="96">
        <f t="shared" si="20"/>
        <v>0</v>
      </c>
      <c r="AB81" s="101" t="str">
        <f t="shared" si="21"/>
        <v/>
      </c>
      <c r="AC81" s="102" t="str">
        <f t="shared" si="22"/>
        <v/>
      </c>
    </row>
    <row r="82" spans="1:29">
      <c r="A82" s="92">
        <f>A80+1</f>
        <v>30</v>
      </c>
      <c r="B82" s="103" t="str">
        <f>[3]!ArticleCode(Art_40.12.20.1)</f>
        <v>40.12.20.1</v>
      </c>
      <c r="C82" s="134" t="str">
        <f>[3]!ArticleDescription(Art_40.12.20.1)</f>
        <v>R0.03 enkel draaikip raam (1110 x 1340 mm)</v>
      </c>
      <c r="D82" s="94" t="str">
        <f>[3]!ArticleMeasureType(Art_40.12.20.1)</f>
        <v>FH</v>
      </c>
      <c r="E82" s="94" t="str">
        <f>[3]!ArticleMeasureUnit(Art_40.12.20.1)</f>
        <v>m2</v>
      </c>
      <c r="F82" s="111">
        <f>[3]!ArticleQuantity(Art_40.12.20.1)</f>
        <v>1.49</v>
      </c>
      <c r="G82" s="94"/>
      <c r="H82" s="96"/>
      <c r="I82" s="96">
        <f t="shared" ref="I82:I86" si="23">IF(RIGHT($D82,1)="-","************",ROUND(IF(NOT(ISNUMBER(G82)),IF(NOT(ISNUMBER(F82)),1,F82),G82)*H82,2))</f>
        <v>0</v>
      </c>
      <c r="J82" s="97"/>
      <c r="K82" s="98"/>
      <c r="L82" s="99"/>
      <c r="M82" s="94"/>
      <c r="N82" s="100"/>
      <c r="O82" s="96">
        <f t="shared" si="14"/>
        <v>0</v>
      </c>
      <c r="P82" s="101" t="str">
        <f t="shared" si="15"/>
        <v/>
      </c>
      <c r="Q82" s="102" t="str">
        <f t="shared" si="16"/>
        <v/>
      </c>
      <c r="R82" s="99"/>
      <c r="S82" s="94"/>
      <c r="T82" s="100"/>
      <c r="U82" s="96">
        <f t="shared" si="17"/>
        <v>0</v>
      </c>
      <c r="V82" s="101" t="str">
        <f t="shared" si="18"/>
        <v/>
      </c>
      <c r="W82" s="102" t="str">
        <f t="shared" si="19"/>
        <v/>
      </c>
      <c r="X82" s="99"/>
      <c r="Y82" s="94"/>
      <c r="Z82" s="100"/>
      <c r="AA82" s="96">
        <f t="shared" si="20"/>
        <v>0</v>
      </c>
      <c r="AB82" s="101" t="str">
        <f t="shared" si="21"/>
        <v/>
      </c>
      <c r="AC82" s="102" t="str">
        <f t="shared" si="22"/>
        <v/>
      </c>
    </row>
    <row r="83" spans="1:29">
      <c r="A83" s="92">
        <f>A82+1</f>
        <v>31</v>
      </c>
      <c r="B83" s="103" t="str">
        <f>[3]!ArticleCode(Art_40.12.20.2)</f>
        <v>40.12.20.2</v>
      </c>
      <c r="C83" s="134" t="str">
        <f>[3]!ArticleDescription(Art_40.12.20.2)</f>
        <v>R0.05 enkel draaikip raam (1000 x 1340 mm)</v>
      </c>
      <c r="D83" s="94" t="str">
        <f>[3]!ArticleMeasureType(Art_40.12.20.2)</f>
        <v>FH</v>
      </c>
      <c r="E83" s="94" t="str">
        <f>[3]!ArticleMeasureUnit(Art_40.12.20.2)</f>
        <v>m2</v>
      </c>
      <c r="F83" s="111">
        <f>[3]!ArticleQuantity(Art_40.12.20.2)</f>
        <v>1.34</v>
      </c>
      <c r="G83" s="94"/>
      <c r="H83" s="96"/>
      <c r="I83" s="96">
        <f t="shared" si="23"/>
        <v>0</v>
      </c>
      <c r="J83" s="97"/>
      <c r="K83" s="98"/>
      <c r="L83" s="99"/>
      <c r="M83" s="94"/>
      <c r="N83" s="100"/>
      <c r="O83" s="96">
        <f t="shared" si="14"/>
        <v>0</v>
      </c>
      <c r="P83" s="101" t="str">
        <f t="shared" si="15"/>
        <v/>
      </c>
      <c r="Q83" s="102" t="str">
        <f t="shared" si="16"/>
        <v/>
      </c>
      <c r="R83" s="99"/>
      <c r="S83" s="94"/>
      <c r="T83" s="100"/>
      <c r="U83" s="96">
        <f t="shared" si="17"/>
        <v>0</v>
      </c>
      <c r="V83" s="101" t="str">
        <f t="shared" si="18"/>
        <v/>
      </c>
      <c r="W83" s="102" t="str">
        <f t="shared" si="19"/>
        <v/>
      </c>
      <c r="X83" s="99"/>
      <c r="Y83" s="94"/>
      <c r="Z83" s="100"/>
      <c r="AA83" s="96">
        <f t="shared" si="20"/>
        <v>0</v>
      </c>
      <c r="AB83" s="101" t="str">
        <f t="shared" si="21"/>
        <v/>
      </c>
      <c r="AC83" s="102" t="str">
        <f t="shared" si="22"/>
        <v/>
      </c>
    </row>
    <row r="84" spans="1:29">
      <c r="A84" s="92">
        <f>A83+1</f>
        <v>32</v>
      </c>
      <c r="B84" s="103" t="str">
        <f>[3]!ArticleCode(Art_40.12.20.3)</f>
        <v>40.12.20.3</v>
      </c>
      <c r="C84" s="134" t="str">
        <f>[3]!ArticleDescription(Art_40.12.20.3)</f>
        <v>R0.07 enkel openvallend raam (930 x 760 mm)</v>
      </c>
      <c r="D84" s="94" t="str">
        <f>[3]!ArticleMeasureType(Art_40.12.20.3)</f>
        <v>FH</v>
      </c>
      <c r="E84" s="94" t="str">
        <f>[3]!ArticleMeasureUnit(Art_40.12.20.3)</f>
        <v>m2</v>
      </c>
      <c r="F84" s="111">
        <f>[3]!ArticleQuantity(Art_40.12.20.3)</f>
        <v>0.71</v>
      </c>
      <c r="G84" s="94"/>
      <c r="H84" s="96"/>
      <c r="I84" s="96">
        <f t="shared" si="23"/>
        <v>0</v>
      </c>
      <c r="J84" s="97"/>
      <c r="K84" s="98"/>
      <c r="L84" s="99"/>
      <c r="M84" s="94"/>
      <c r="N84" s="100"/>
      <c r="O84" s="96">
        <f t="shared" si="14"/>
        <v>0</v>
      </c>
      <c r="P84" s="101" t="str">
        <f t="shared" si="15"/>
        <v/>
      </c>
      <c r="Q84" s="102" t="str">
        <f t="shared" si="16"/>
        <v/>
      </c>
      <c r="R84" s="99"/>
      <c r="S84" s="94"/>
      <c r="T84" s="100"/>
      <c r="U84" s="96">
        <f t="shared" si="17"/>
        <v>0</v>
      </c>
      <c r="V84" s="101" t="str">
        <f t="shared" si="18"/>
        <v/>
      </c>
      <c r="W84" s="102" t="str">
        <f t="shared" si="19"/>
        <v/>
      </c>
      <c r="X84" s="99"/>
      <c r="Y84" s="94"/>
      <c r="Z84" s="100"/>
      <c r="AA84" s="96">
        <f t="shared" si="20"/>
        <v>0</v>
      </c>
      <c r="AB84" s="101" t="str">
        <f t="shared" si="21"/>
        <v/>
      </c>
      <c r="AC84" s="102" t="str">
        <f t="shared" si="22"/>
        <v/>
      </c>
    </row>
    <row r="85" spans="1:29">
      <c r="A85" s="92">
        <f>A84+1</f>
        <v>33</v>
      </c>
      <c r="B85" s="103" t="str">
        <f>[3]!ArticleCode(Art_40.12.20.4)</f>
        <v>40.12.20.4</v>
      </c>
      <c r="C85" s="134" t="str">
        <f>[3]!ArticleDescription(Art_40.12.20.4)</f>
        <v>R0.08 enkel openvallend raam (1560 x 770 mm)</v>
      </c>
      <c r="D85" s="94" t="str">
        <f>[3]!ArticleMeasureType(Art_40.12.20.4)</f>
        <v>FH</v>
      </c>
      <c r="E85" s="94" t="str">
        <f>[3]!ArticleMeasureUnit(Art_40.12.20.4)</f>
        <v>m2</v>
      </c>
      <c r="F85" s="111">
        <f>[3]!ArticleQuantity(Art_40.12.20.4)</f>
        <v>1.19</v>
      </c>
      <c r="G85" s="94"/>
      <c r="H85" s="96"/>
      <c r="I85" s="96">
        <f t="shared" si="23"/>
        <v>0</v>
      </c>
      <c r="J85" s="97"/>
      <c r="K85" s="98"/>
      <c r="L85" s="99"/>
      <c r="M85" s="94"/>
      <c r="N85" s="100"/>
      <c r="O85" s="96">
        <f t="shared" si="14"/>
        <v>0</v>
      </c>
      <c r="P85" s="101" t="str">
        <f t="shared" si="15"/>
        <v/>
      </c>
      <c r="Q85" s="102" t="str">
        <f t="shared" si="16"/>
        <v/>
      </c>
      <c r="R85" s="99"/>
      <c r="S85" s="94"/>
      <c r="T85" s="100"/>
      <c r="U85" s="96">
        <f t="shared" si="17"/>
        <v>0</v>
      </c>
      <c r="V85" s="101" t="str">
        <f t="shared" si="18"/>
        <v/>
      </c>
      <c r="W85" s="102" t="str">
        <f t="shared" si="19"/>
        <v/>
      </c>
      <c r="X85" s="99"/>
      <c r="Y85" s="94"/>
      <c r="Z85" s="100"/>
      <c r="AA85" s="96">
        <f t="shared" si="20"/>
        <v>0</v>
      </c>
      <c r="AB85" s="101" t="str">
        <f t="shared" si="21"/>
        <v/>
      </c>
      <c r="AC85" s="102" t="str">
        <f t="shared" si="22"/>
        <v/>
      </c>
    </row>
    <row r="86" spans="1:29">
      <c r="A86" s="92">
        <f>A85+1</f>
        <v>34</v>
      </c>
      <c r="B86" s="103" t="str">
        <f>[3]!ArticleCode(Art_40.12.20.5)</f>
        <v>40.12.20.5</v>
      </c>
      <c r="C86" s="134" t="str">
        <f>[3]!ArticleDescription(Art_40.12.20.5)</f>
        <v>R1.01/R1.02/R1.03/R1.04/R1.05/R1.06 kip voor draai raam (102 x 2400 mm)</v>
      </c>
      <c r="D86" s="94" t="str">
        <f>[3]!ArticleMeasureType(Art_40.12.20.5)</f>
        <v>FH</v>
      </c>
      <c r="E86" s="94" t="str">
        <f>[3]!ArticleMeasureUnit(Art_40.12.20.5)</f>
        <v>m2</v>
      </c>
      <c r="F86" s="111">
        <f>[3]!ArticleQuantity(Art_40.12.20.5)</f>
        <v>14.7</v>
      </c>
      <c r="G86" s="94"/>
      <c r="H86" s="96"/>
      <c r="I86" s="96">
        <f t="shared" si="23"/>
        <v>0</v>
      </c>
      <c r="J86" s="97"/>
      <c r="K86" s="98"/>
      <c r="L86" s="99"/>
      <c r="M86" s="94"/>
      <c r="N86" s="100"/>
      <c r="O86" s="96">
        <f t="shared" si="14"/>
        <v>0</v>
      </c>
      <c r="P86" s="101" t="str">
        <f t="shared" si="15"/>
        <v/>
      </c>
      <c r="Q86" s="102" t="str">
        <f t="shared" si="16"/>
        <v/>
      </c>
      <c r="R86" s="99"/>
      <c r="S86" s="94"/>
      <c r="T86" s="100"/>
      <c r="U86" s="96">
        <f t="shared" si="17"/>
        <v>0</v>
      </c>
      <c r="V86" s="101" t="str">
        <f t="shared" si="18"/>
        <v/>
      </c>
      <c r="W86" s="102" t="str">
        <f t="shared" si="19"/>
        <v/>
      </c>
      <c r="X86" s="99"/>
      <c r="Y86" s="94"/>
      <c r="Z86" s="100"/>
      <c r="AA86" s="96">
        <f t="shared" si="20"/>
        <v>0</v>
      </c>
      <c r="AB86" s="101" t="str">
        <f t="shared" si="21"/>
        <v/>
      </c>
      <c r="AC86" s="102" t="str">
        <f t="shared" si="22"/>
        <v/>
      </c>
    </row>
    <row r="87" spans="1:29">
      <c r="A87" s="92"/>
      <c r="B87" s="103" t="str">
        <f>[3]!ArticleCode(Art_40.12.40)</f>
        <v>40.12.40</v>
      </c>
      <c r="C87" s="134" t="str">
        <f>[3]!ArticleDescription(Art_40.12.40)</f>
        <v>profielsystemen - aluminium/buitendeuren</v>
      </c>
      <c r="D87" s="94"/>
      <c r="E87" s="94"/>
      <c r="F87" s="94"/>
      <c r="G87" s="94"/>
      <c r="H87" s="96"/>
      <c r="I87" s="96"/>
      <c r="J87" s="97"/>
      <c r="K87" s="98"/>
      <c r="L87" s="99"/>
      <c r="M87" s="94"/>
      <c r="N87" s="100"/>
      <c r="O87" s="96">
        <f t="shared" si="14"/>
        <v>0</v>
      </c>
      <c r="P87" s="101" t="str">
        <f t="shared" si="15"/>
        <v/>
      </c>
      <c r="Q87" s="102" t="str">
        <f t="shared" si="16"/>
        <v/>
      </c>
      <c r="R87" s="99"/>
      <c r="S87" s="94"/>
      <c r="T87" s="100"/>
      <c r="U87" s="96">
        <f t="shared" si="17"/>
        <v>0</v>
      </c>
      <c r="V87" s="101" t="str">
        <f t="shared" si="18"/>
        <v/>
      </c>
      <c r="W87" s="102" t="str">
        <f t="shared" si="19"/>
        <v/>
      </c>
      <c r="X87" s="99"/>
      <c r="Y87" s="94"/>
      <c r="Z87" s="100"/>
      <c r="AA87" s="96">
        <f t="shared" si="20"/>
        <v>0</v>
      </c>
      <c r="AB87" s="101" t="str">
        <f t="shared" si="21"/>
        <v/>
      </c>
      <c r="AC87" s="102" t="str">
        <f t="shared" si="22"/>
        <v/>
      </c>
    </row>
    <row r="88" spans="1:29">
      <c r="A88" s="92">
        <f>A86+1</f>
        <v>35</v>
      </c>
      <c r="B88" s="103" t="str">
        <f>[3]!ArticleCode(Art_40.12.40.1)</f>
        <v>40.12.40.1</v>
      </c>
      <c r="C88" s="134" t="str">
        <f>[3]!ArticleDescription(Art_40.12.40.1)</f>
        <v>S0.01 - dubbele beglaasde deur (2410 x 2550 mm)</v>
      </c>
      <c r="D88" s="94" t="str">
        <f>[3]!ArticleMeasureType(Art_40.12.40.1)</f>
        <v>FH</v>
      </c>
      <c r="E88" s="94" t="str">
        <f>[3]!ArticleMeasureUnit(Art_40.12.40.1)</f>
        <v>m2</v>
      </c>
      <c r="F88" s="111">
        <f>[3]!ArticleQuantity(Art_40.12.40.1)</f>
        <v>6.14</v>
      </c>
      <c r="G88" s="94"/>
      <c r="H88" s="96"/>
      <c r="I88" s="96">
        <f t="shared" ref="I88:I93" si="24">IF(RIGHT($D88,1)="-","************",ROUND(IF(NOT(ISNUMBER(G88)),IF(NOT(ISNUMBER(F88)),1,F88),G88)*H88,2))</f>
        <v>0</v>
      </c>
      <c r="J88" s="97"/>
      <c r="K88" s="98"/>
      <c r="L88" s="99"/>
      <c r="M88" s="94"/>
      <c r="N88" s="100"/>
      <c r="O88" s="96">
        <f t="shared" si="14"/>
        <v>0</v>
      </c>
      <c r="P88" s="101" t="str">
        <f t="shared" si="15"/>
        <v/>
      </c>
      <c r="Q88" s="102" t="str">
        <f t="shared" si="16"/>
        <v/>
      </c>
      <c r="R88" s="99"/>
      <c r="S88" s="94"/>
      <c r="T88" s="100"/>
      <c r="U88" s="96">
        <f t="shared" si="17"/>
        <v>0</v>
      </c>
      <c r="V88" s="101" t="str">
        <f t="shared" si="18"/>
        <v/>
      </c>
      <c r="W88" s="102" t="str">
        <f t="shared" si="19"/>
        <v/>
      </c>
      <c r="X88" s="99"/>
      <c r="Y88" s="94"/>
      <c r="Z88" s="100"/>
      <c r="AA88" s="96">
        <f t="shared" si="20"/>
        <v>0</v>
      </c>
      <c r="AB88" s="101" t="str">
        <f t="shared" si="21"/>
        <v/>
      </c>
      <c r="AC88" s="102" t="str">
        <f t="shared" si="22"/>
        <v/>
      </c>
    </row>
    <row r="89" spans="1:29">
      <c r="A89" s="92">
        <f>A88+1</f>
        <v>36</v>
      </c>
      <c r="B89" s="103" t="str">
        <f>[3]!ArticleCode(Art_40.12.40.2)</f>
        <v>40.12.40.2</v>
      </c>
      <c r="C89" s="134" t="str">
        <f>[3]!ArticleDescription(Art_40.12.40.2)</f>
        <v>S0.02 - dubbele beglaasde deur (2250 x 2390 mm)</v>
      </c>
      <c r="D89" s="94" t="str">
        <f>[3]!ArticleMeasureType(Art_40.12.40.2)</f>
        <v>FH</v>
      </c>
      <c r="E89" s="94" t="str">
        <f>[3]!ArticleMeasureUnit(Art_40.12.40.2)</f>
        <v>m2</v>
      </c>
      <c r="F89" s="111">
        <f>[3]!ArticleQuantity(Art_40.12.40.2)</f>
        <v>5.38</v>
      </c>
      <c r="G89" s="94"/>
      <c r="H89" s="96"/>
      <c r="I89" s="96">
        <f t="shared" si="24"/>
        <v>0</v>
      </c>
      <c r="J89" s="97"/>
      <c r="K89" s="98"/>
      <c r="L89" s="99"/>
      <c r="M89" s="94"/>
      <c r="N89" s="100"/>
      <c r="O89" s="96">
        <f t="shared" si="14"/>
        <v>0</v>
      </c>
      <c r="P89" s="101" t="str">
        <f t="shared" si="15"/>
        <v/>
      </c>
      <c r="Q89" s="102" t="str">
        <f t="shared" si="16"/>
        <v/>
      </c>
      <c r="R89" s="99"/>
      <c r="S89" s="94"/>
      <c r="T89" s="100"/>
      <c r="U89" s="96">
        <f t="shared" si="17"/>
        <v>0</v>
      </c>
      <c r="V89" s="101" t="str">
        <f t="shared" si="18"/>
        <v/>
      </c>
      <c r="W89" s="102" t="str">
        <f t="shared" si="19"/>
        <v/>
      </c>
      <c r="X89" s="99"/>
      <c r="Y89" s="94"/>
      <c r="Z89" s="100"/>
      <c r="AA89" s="96">
        <f t="shared" si="20"/>
        <v>0</v>
      </c>
      <c r="AB89" s="101" t="str">
        <f t="shared" si="21"/>
        <v/>
      </c>
      <c r="AC89" s="102" t="str">
        <f t="shared" si="22"/>
        <v/>
      </c>
    </row>
    <row r="90" spans="1:29">
      <c r="A90" s="92">
        <f>A89+1</f>
        <v>37</v>
      </c>
      <c r="B90" s="103" t="str">
        <f>[3]!ArticleCode(Art_40.12.40.3)</f>
        <v>40.12.40.3</v>
      </c>
      <c r="C90" s="134" t="str">
        <f>[3]!ArticleDescription(Art_40.12.40.3)</f>
        <v>S0.03/S0.04 - enkele beglaasde deur (1020 x 2000 mm)</v>
      </c>
      <c r="D90" s="94" t="str">
        <f>[3]!ArticleMeasureType(Art_40.12.40.3)</f>
        <v>FH</v>
      </c>
      <c r="E90" s="94" t="str">
        <f>[3]!ArticleMeasureUnit(Art_40.12.40.3)</f>
        <v>m2</v>
      </c>
      <c r="F90" s="111">
        <f>[3]!ArticleQuantity(Art_40.12.40.3)</f>
        <v>4.08</v>
      </c>
      <c r="G90" s="94"/>
      <c r="H90" s="96"/>
      <c r="I90" s="96">
        <f t="shared" si="24"/>
        <v>0</v>
      </c>
      <c r="J90" s="97"/>
      <c r="K90" s="98"/>
      <c r="L90" s="99"/>
      <c r="M90" s="94"/>
      <c r="N90" s="100"/>
      <c r="O90" s="96">
        <f t="shared" si="14"/>
        <v>0</v>
      </c>
      <c r="P90" s="101" t="str">
        <f t="shared" si="15"/>
        <v/>
      </c>
      <c r="Q90" s="102" t="str">
        <f t="shared" si="16"/>
        <v/>
      </c>
      <c r="R90" s="99"/>
      <c r="S90" s="94"/>
      <c r="T90" s="100"/>
      <c r="U90" s="96">
        <f t="shared" si="17"/>
        <v>0</v>
      </c>
      <c r="V90" s="101" t="str">
        <f t="shared" si="18"/>
        <v/>
      </c>
      <c r="W90" s="102" t="str">
        <f t="shared" si="19"/>
        <v/>
      </c>
      <c r="X90" s="99"/>
      <c r="Y90" s="94"/>
      <c r="Z90" s="100"/>
      <c r="AA90" s="96">
        <f t="shared" si="20"/>
        <v>0</v>
      </c>
      <c r="AB90" s="101" t="str">
        <f t="shared" si="21"/>
        <v/>
      </c>
      <c r="AC90" s="102" t="str">
        <f t="shared" si="22"/>
        <v/>
      </c>
    </row>
    <row r="91" spans="1:29">
      <c r="A91" s="92">
        <f>A90+1</f>
        <v>38</v>
      </c>
      <c r="B91" s="103" t="str">
        <f>[3]!ArticleCode(Art_40.12.40.4)</f>
        <v>40.12.40.4</v>
      </c>
      <c r="C91" s="134" t="str">
        <f>[3]!ArticleDescription(Art_40.12.40.4)</f>
        <v>S0.05 - enkele beglaasde deur (1020 x 2190 mm)</v>
      </c>
      <c r="D91" s="94" t="str">
        <f>[3]!ArticleMeasureType(Art_40.12.40.4)</f>
        <v>FH</v>
      </c>
      <c r="E91" s="94" t="str">
        <f>[3]!ArticleMeasureUnit(Art_40.12.40.4)</f>
        <v>m2</v>
      </c>
      <c r="F91" s="111">
        <f>[3]!ArticleQuantity(Art_40.12.40.4)</f>
        <v>2.23</v>
      </c>
      <c r="G91" s="94"/>
      <c r="H91" s="96"/>
      <c r="I91" s="96">
        <f t="shared" si="24"/>
        <v>0</v>
      </c>
      <c r="J91" s="97"/>
      <c r="K91" s="98"/>
      <c r="L91" s="99"/>
      <c r="M91" s="94"/>
      <c r="N91" s="100"/>
      <c r="O91" s="96">
        <f t="shared" si="14"/>
        <v>0</v>
      </c>
      <c r="P91" s="101" t="str">
        <f t="shared" si="15"/>
        <v/>
      </c>
      <c r="Q91" s="102" t="str">
        <f t="shared" si="16"/>
        <v/>
      </c>
      <c r="R91" s="99"/>
      <c r="S91" s="94"/>
      <c r="T91" s="100"/>
      <c r="U91" s="96">
        <f t="shared" si="17"/>
        <v>0</v>
      </c>
      <c r="V91" s="101" t="str">
        <f t="shared" si="18"/>
        <v/>
      </c>
      <c r="W91" s="102" t="str">
        <f t="shared" si="19"/>
        <v/>
      </c>
      <c r="X91" s="99"/>
      <c r="Y91" s="94"/>
      <c r="Z91" s="100"/>
      <c r="AA91" s="96">
        <f t="shared" si="20"/>
        <v>0</v>
      </c>
      <c r="AB91" s="101" t="str">
        <f t="shared" si="21"/>
        <v/>
      </c>
      <c r="AC91" s="102" t="str">
        <f t="shared" si="22"/>
        <v/>
      </c>
    </row>
    <row r="92" spans="1:29">
      <c r="A92" s="92">
        <f>A91+1</f>
        <v>39</v>
      </c>
      <c r="B92" s="103" t="str">
        <f>[3]!ArticleCode(Art_40.12.40.5)</f>
        <v>40.12.40.5</v>
      </c>
      <c r="C92" s="134" t="str">
        <f>[3]!ArticleDescription(Art_40.12.40.5)</f>
        <v>S1.01 - enkele beglaasde deur (870 x 2000 mm)</v>
      </c>
      <c r="D92" s="94" t="str">
        <f>[3]!ArticleMeasureType(Art_40.12.40.5)</f>
        <v>FH</v>
      </c>
      <c r="E92" s="94" t="str">
        <f>[3]!ArticleMeasureUnit(Art_40.12.40.5)</f>
        <v>m2</v>
      </c>
      <c r="F92" s="111">
        <f>[3]!ArticleQuantity(Art_40.12.40.5)</f>
        <v>1.74</v>
      </c>
      <c r="G92" s="94"/>
      <c r="H92" s="96"/>
      <c r="I92" s="96">
        <f t="shared" si="24"/>
        <v>0</v>
      </c>
      <c r="J92" s="97"/>
      <c r="K92" s="98"/>
      <c r="L92" s="99"/>
      <c r="M92" s="94"/>
      <c r="N92" s="100"/>
      <c r="O92" s="96">
        <f t="shared" si="14"/>
        <v>0</v>
      </c>
      <c r="P92" s="101" t="str">
        <f t="shared" si="15"/>
        <v/>
      </c>
      <c r="Q92" s="102" t="str">
        <f t="shared" si="16"/>
        <v/>
      </c>
      <c r="R92" s="99"/>
      <c r="S92" s="94"/>
      <c r="T92" s="100"/>
      <c r="U92" s="96">
        <f t="shared" si="17"/>
        <v>0</v>
      </c>
      <c r="V92" s="101" t="str">
        <f t="shared" si="18"/>
        <v/>
      </c>
      <c r="W92" s="102" t="str">
        <f t="shared" si="19"/>
        <v/>
      </c>
      <c r="X92" s="99"/>
      <c r="Y92" s="94"/>
      <c r="Z92" s="100"/>
      <c r="AA92" s="96">
        <f t="shared" si="20"/>
        <v>0</v>
      </c>
      <c r="AB92" s="101" t="str">
        <f t="shared" si="21"/>
        <v/>
      </c>
      <c r="AC92" s="102" t="str">
        <f t="shared" si="22"/>
        <v/>
      </c>
    </row>
    <row r="93" spans="1:29">
      <c r="A93" s="92">
        <f>A92+1</f>
        <v>40</v>
      </c>
      <c r="B93" s="103" t="str">
        <f>[3]!ArticleCode(Art_40.12.40.6)</f>
        <v>40.12.40.6</v>
      </c>
      <c r="C93" s="134" t="str">
        <f>[3]!ArticleDescription(Art_40.12.40.6)</f>
        <v>S1.02 - enkele beglaasde deur (920 x 2150 mm)</v>
      </c>
      <c r="D93" s="94" t="str">
        <f>[3]!ArticleMeasureType(Art_40.12.40.6)</f>
        <v>FH</v>
      </c>
      <c r="E93" s="94" t="str">
        <f>[3]!ArticleMeasureUnit(Art_40.12.40.6)</f>
        <v>m2</v>
      </c>
      <c r="F93" s="111">
        <f>[3]!ArticleQuantity(Art_40.12.40.6)</f>
        <v>1.98</v>
      </c>
      <c r="G93" s="94"/>
      <c r="H93" s="96"/>
      <c r="I93" s="96">
        <f t="shared" si="24"/>
        <v>0</v>
      </c>
      <c r="J93" s="97"/>
      <c r="K93" s="98"/>
      <c r="L93" s="99"/>
      <c r="M93" s="94"/>
      <c r="N93" s="100"/>
      <c r="O93" s="96">
        <f t="shared" si="14"/>
        <v>0</v>
      </c>
      <c r="P93" s="101" t="str">
        <f t="shared" si="15"/>
        <v/>
      </c>
      <c r="Q93" s="102" t="str">
        <f t="shared" si="16"/>
        <v/>
      </c>
      <c r="R93" s="99"/>
      <c r="S93" s="94"/>
      <c r="T93" s="100"/>
      <c r="U93" s="96">
        <f t="shared" si="17"/>
        <v>0</v>
      </c>
      <c r="V93" s="101" t="str">
        <f t="shared" si="18"/>
        <v/>
      </c>
      <c r="W93" s="102" t="str">
        <f t="shared" si="19"/>
        <v/>
      </c>
      <c r="X93" s="99"/>
      <c r="Y93" s="94"/>
      <c r="Z93" s="100"/>
      <c r="AA93" s="96">
        <f t="shared" si="20"/>
        <v>0</v>
      </c>
      <c r="AB93" s="101" t="str">
        <f t="shared" si="21"/>
        <v/>
      </c>
      <c r="AC93" s="102" t="str">
        <f t="shared" si="22"/>
        <v/>
      </c>
    </row>
    <row r="94" spans="1:29">
      <c r="A94" s="92"/>
      <c r="B94" s="103" t="str">
        <f>[3]!ArticleCode(Art_40.20.)</f>
        <v>40.20.</v>
      </c>
      <c r="C94" s="134" t="str">
        <f>[3]!ArticleDescription(Art_40.20.)</f>
        <v>hang- en sluitwerk - algemeen</v>
      </c>
      <c r="D94" s="94"/>
      <c r="E94" s="94"/>
      <c r="F94" s="94"/>
      <c r="G94" s="94"/>
      <c r="H94" s="96"/>
      <c r="I94" s="96"/>
      <c r="J94" s="97"/>
      <c r="K94" s="98"/>
      <c r="L94" s="99"/>
      <c r="M94" s="94"/>
      <c r="N94" s="100"/>
      <c r="O94" s="96">
        <f t="shared" si="14"/>
        <v>0</v>
      </c>
      <c r="P94" s="101" t="str">
        <f t="shared" si="15"/>
        <v/>
      </c>
      <c r="Q94" s="102" t="str">
        <f t="shared" si="16"/>
        <v/>
      </c>
      <c r="R94" s="99"/>
      <c r="S94" s="94"/>
      <c r="T94" s="100"/>
      <c r="U94" s="96">
        <f t="shared" si="17"/>
        <v>0</v>
      </c>
      <c r="V94" s="101" t="str">
        <f t="shared" si="18"/>
        <v/>
      </c>
      <c r="W94" s="102" t="str">
        <f t="shared" si="19"/>
        <v/>
      </c>
      <c r="X94" s="99"/>
      <c r="Y94" s="94"/>
      <c r="Z94" s="100"/>
      <c r="AA94" s="96">
        <f t="shared" si="20"/>
        <v>0</v>
      </c>
      <c r="AB94" s="101" t="str">
        <f t="shared" si="21"/>
        <v/>
      </c>
      <c r="AC94" s="102" t="str">
        <f t="shared" si="22"/>
        <v/>
      </c>
    </row>
    <row r="95" spans="1:29">
      <c r="A95" s="92">
        <f>A93+1</f>
        <v>41</v>
      </c>
      <c r="B95" s="103" t="str">
        <f>[3]!ArticleCode(Art_40.21.)</f>
        <v>40.21.</v>
      </c>
      <c r="C95" s="134" t="str">
        <f>[3]!ArticleDescription(Art_40.21.)</f>
        <v>hang- en sluitwerk - standaard beslag</v>
      </c>
      <c r="D95" s="94" t="str">
        <f>[3]!ArticleMeasureType(Art_40.21.)</f>
        <v>PM</v>
      </c>
      <c r="E95" s="94" t="str">
        <f>[3]!ArticleMeasureUnit(Art_40.21.)</f>
        <v/>
      </c>
      <c r="F95" s="104" t="str">
        <f>[3]!ArticleQuantity(Art_40.21.)</f>
        <v/>
      </c>
      <c r="G95" s="94"/>
      <c r="H95" s="96"/>
      <c r="I95" s="96">
        <f>IF(RIGHT($D95,1)="-","************",ROUND(IF(NOT(ISNUMBER(G95)),IF(NOT(ISNUMBER(F95)),1,F95),G95)*H95,2))</f>
        <v>0</v>
      </c>
      <c r="J95" s="97"/>
      <c r="K95" s="98"/>
      <c r="L95" s="99"/>
      <c r="M95" s="94"/>
      <c r="N95" s="100"/>
      <c r="O95" s="96">
        <f t="shared" si="14"/>
        <v>0</v>
      </c>
      <c r="P95" s="101" t="str">
        <f t="shared" si="15"/>
        <v/>
      </c>
      <c r="Q95" s="102" t="str">
        <f t="shared" si="16"/>
        <v/>
      </c>
      <c r="R95" s="99"/>
      <c r="S95" s="94"/>
      <c r="T95" s="100"/>
      <c r="U95" s="96">
        <f t="shared" si="17"/>
        <v>0</v>
      </c>
      <c r="V95" s="101" t="str">
        <f t="shared" si="18"/>
        <v/>
      </c>
      <c r="W95" s="102" t="str">
        <f t="shared" si="19"/>
        <v/>
      </c>
      <c r="X95" s="99"/>
      <c r="Y95" s="94"/>
      <c r="Z95" s="100"/>
      <c r="AA95" s="96">
        <f t="shared" si="20"/>
        <v>0</v>
      </c>
      <c r="AB95" s="101" t="str">
        <f t="shared" si="21"/>
        <v/>
      </c>
      <c r="AC95" s="102" t="str">
        <f t="shared" si="22"/>
        <v/>
      </c>
    </row>
    <row r="96" spans="1:29">
      <c r="A96" s="92">
        <f>A95+1</f>
        <v>42</v>
      </c>
      <c r="B96" s="103" t="str">
        <f>[3]!ArticleCode(Art_40.22.)</f>
        <v>40.22.</v>
      </c>
      <c r="C96" s="134" t="str">
        <f>[3]!ArticleDescription(Art_40.22.)</f>
        <v>hang- en sluitwerk - scharnieren en paumellen</v>
      </c>
      <c r="D96" s="94" t="str">
        <f>[3]!ArticleMeasureType(Art_40.22.)</f>
        <v>PM</v>
      </c>
      <c r="E96" s="94" t="str">
        <f>[3]!ArticleMeasureUnit(Art_40.22.)</f>
        <v/>
      </c>
      <c r="F96" s="104" t="str">
        <f>[3]!ArticleQuantity(Art_40.22.)</f>
        <v/>
      </c>
      <c r="G96" s="94"/>
      <c r="H96" s="96"/>
      <c r="I96" s="96">
        <f>IF(RIGHT($D96,1)="-","************",ROUND(IF(NOT(ISNUMBER(G96)),IF(NOT(ISNUMBER(F96)),1,F96),G96)*H96,2))</f>
        <v>0</v>
      </c>
      <c r="J96" s="97"/>
      <c r="K96" s="98"/>
      <c r="L96" s="99"/>
      <c r="M96" s="94"/>
      <c r="N96" s="100"/>
      <c r="O96" s="96">
        <f t="shared" si="14"/>
        <v>0</v>
      </c>
      <c r="P96" s="101" t="str">
        <f t="shared" si="15"/>
        <v/>
      </c>
      <c r="Q96" s="102" t="str">
        <f t="shared" si="16"/>
        <v/>
      </c>
      <c r="R96" s="99"/>
      <c r="S96" s="94"/>
      <c r="T96" s="100"/>
      <c r="U96" s="96">
        <f t="shared" si="17"/>
        <v>0</v>
      </c>
      <c r="V96" s="101" t="str">
        <f t="shared" si="18"/>
        <v/>
      </c>
      <c r="W96" s="102" t="str">
        <f t="shared" si="19"/>
        <v/>
      </c>
      <c r="X96" s="99"/>
      <c r="Y96" s="94"/>
      <c r="Z96" s="100"/>
      <c r="AA96" s="96">
        <f t="shared" si="20"/>
        <v>0</v>
      </c>
      <c r="AB96" s="101" t="str">
        <f t="shared" si="21"/>
        <v/>
      </c>
      <c r="AC96" s="102" t="str">
        <f t="shared" si="22"/>
        <v/>
      </c>
    </row>
    <row r="97" spans="1:29">
      <c r="A97" s="92"/>
      <c r="B97" s="103" t="str">
        <f>[3]!ArticleCode(Art_40.23.)</f>
        <v>40.23.</v>
      </c>
      <c r="C97" s="134" t="str">
        <f>[3]!ArticleDescription(Art_40.23.)</f>
        <v>hang- en sluitwerk - sloten</v>
      </c>
      <c r="D97" s="94"/>
      <c r="E97" s="94"/>
      <c r="F97" s="94"/>
      <c r="G97" s="94"/>
      <c r="H97" s="96"/>
      <c r="I97" s="96"/>
      <c r="J97" s="97"/>
      <c r="K97" s="98"/>
      <c r="L97" s="99"/>
      <c r="M97" s="94"/>
      <c r="N97" s="100"/>
      <c r="O97" s="96">
        <f t="shared" si="14"/>
        <v>0</v>
      </c>
      <c r="P97" s="101" t="str">
        <f t="shared" si="15"/>
        <v/>
      </c>
      <c r="Q97" s="102" t="str">
        <f t="shared" si="16"/>
        <v/>
      </c>
      <c r="R97" s="99"/>
      <c r="S97" s="94"/>
      <c r="T97" s="100"/>
      <c r="U97" s="96">
        <f t="shared" si="17"/>
        <v>0</v>
      </c>
      <c r="V97" s="101" t="str">
        <f t="shared" si="18"/>
        <v/>
      </c>
      <c r="W97" s="102" t="str">
        <f t="shared" si="19"/>
        <v/>
      </c>
      <c r="X97" s="99"/>
      <c r="Y97" s="94"/>
      <c r="Z97" s="100"/>
      <c r="AA97" s="96">
        <f t="shared" si="20"/>
        <v>0</v>
      </c>
      <c r="AB97" s="101" t="str">
        <f t="shared" si="21"/>
        <v/>
      </c>
      <c r="AC97" s="102" t="str">
        <f t="shared" si="22"/>
        <v/>
      </c>
    </row>
    <row r="98" spans="1:29">
      <c r="A98" s="92">
        <f>A96+1</f>
        <v>43</v>
      </c>
      <c r="B98" s="103" t="str">
        <f>[3]!ArticleCode(Art_40.23.10.)</f>
        <v>40.23.10.</v>
      </c>
      <c r="C98" s="134" t="str">
        <f>[3]!ArticleDescription(Art_40.23.10.)</f>
        <v>hang- en sluitwerk - sloten/manueel</v>
      </c>
      <c r="D98" s="94" t="str">
        <f>[3]!ArticleMeasureType(Art_40.23.10.)</f>
        <v>PM</v>
      </c>
      <c r="E98" s="94" t="str">
        <f>[3]!ArticleMeasureUnit(Art_40.23.10.)</f>
        <v/>
      </c>
      <c r="F98" s="104" t="str">
        <f>[3]!ArticleQuantity(Art_40.23.10.)</f>
        <v/>
      </c>
      <c r="G98" s="94"/>
      <c r="H98" s="96"/>
      <c r="I98" s="96">
        <f t="shared" ref="I98:I104" si="25">IF(RIGHT($D98,1)="-","************",ROUND(IF(NOT(ISNUMBER(G98)),IF(NOT(ISNUMBER(F98)),1,F98),G98)*H98,2))</f>
        <v>0</v>
      </c>
      <c r="J98" s="97"/>
      <c r="K98" s="98"/>
      <c r="L98" s="99"/>
      <c r="M98" s="94"/>
      <c r="N98" s="100"/>
      <c r="O98" s="96">
        <f t="shared" si="14"/>
        <v>0</v>
      </c>
      <c r="P98" s="101" t="str">
        <f t="shared" si="15"/>
        <v/>
      </c>
      <c r="Q98" s="102" t="str">
        <f t="shared" si="16"/>
        <v/>
      </c>
      <c r="R98" s="99"/>
      <c r="S98" s="94"/>
      <c r="T98" s="100"/>
      <c r="U98" s="96">
        <f t="shared" si="17"/>
        <v>0</v>
      </c>
      <c r="V98" s="101" t="str">
        <f t="shared" si="18"/>
        <v/>
      </c>
      <c r="W98" s="102" t="str">
        <f t="shared" si="19"/>
        <v/>
      </c>
      <c r="X98" s="99"/>
      <c r="Y98" s="94"/>
      <c r="Z98" s="100"/>
      <c r="AA98" s="96">
        <f t="shared" si="20"/>
        <v>0</v>
      </c>
      <c r="AB98" s="101" t="str">
        <f t="shared" si="21"/>
        <v/>
      </c>
      <c r="AC98" s="102" t="str">
        <f t="shared" si="22"/>
        <v/>
      </c>
    </row>
    <row r="99" spans="1:29">
      <c r="A99" s="92"/>
      <c r="B99" s="103" t="str">
        <f>[3]!ArticleCode(Art_40.24.)</f>
        <v>40.24.</v>
      </c>
      <c r="C99" s="134" t="str">
        <f>[3]!ArticleDescription(Art_40.24.)</f>
        <v>hang- en sluitwerk - deurdrangers</v>
      </c>
      <c r="D99" s="94"/>
      <c r="E99" s="94"/>
      <c r="F99" s="94"/>
      <c r="G99" s="94"/>
      <c r="H99" s="96"/>
      <c r="I99" s="96"/>
      <c r="J99" s="97"/>
      <c r="K99" s="98"/>
      <c r="L99" s="99"/>
      <c r="M99" s="94"/>
      <c r="N99" s="100"/>
      <c r="O99" s="96">
        <f t="shared" si="14"/>
        <v>0</v>
      </c>
      <c r="P99" s="101" t="str">
        <f t="shared" si="15"/>
        <v/>
      </c>
      <c r="Q99" s="102" t="str">
        <f t="shared" si="16"/>
        <v/>
      </c>
      <c r="R99" s="99"/>
      <c r="S99" s="94"/>
      <c r="T99" s="100"/>
      <c r="U99" s="96">
        <f t="shared" si="17"/>
        <v>0</v>
      </c>
      <c r="V99" s="101" t="str">
        <f t="shared" si="18"/>
        <v/>
      </c>
      <c r="W99" s="102" t="str">
        <f t="shared" si="19"/>
        <v/>
      </c>
      <c r="X99" s="99"/>
      <c r="Y99" s="94"/>
      <c r="Z99" s="100"/>
      <c r="AA99" s="96">
        <f t="shared" si="20"/>
        <v>0</v>
      </c>
      <c r="AB99" s="101" t="str">
        <f t="shared" si="21"/>
        <v/>
      </c>
      <c r="AC99" s="102" t="str">
        <f t="shared" si="22"/>
        <v/>
      </c>
    </row>
    <row r="100" spans="1:29">
      <c r="A100" s="92">
        <f>A98+1</f>
        <v>44</v>
      </c>
      <c r="B100" s="103" t="str">
        <f>[3]!ArticleCode(Art_40.24.10.)</f>
        <v>40.24.10.</v>
      </c>
      <c r="C100" s="134" t="str">
        <f>[3]!ArticleDescription(Art_40.24.10.)</f>
        <v>hang- en sluitwerk - deurdrangers/manueel</v>
      </c>
      <c r="D100" s="94" t="str">
        <f>[3]!ArticleMeasureType(Art_40.24.10.)</f>
        <v>PM</v>
      </c>
      <c r="E100" s="94" t="str">
        <f>[3]!ArticleMeasureUnit(Art_40.24.10.)</f>
        <v/>
      </c>
      <c r="F100" s="104" t="str">
        <f>[3]!ArticleQuantity(Art_40.24.10.)</f>
        <v/>
      </c>
      <c r="G100" s="94"/>
      <c r="H100" s="96"/>
      <c r="I100" s="96">
        <f>IF(RIGHT($D100,1)="-","************",ROUND(IF(NOT(ISNUMBER(G100)),IF(NOT(ISNUMBER(F100)),1,F100),G100)*H100,2))</f>
        <v>0</v>
      </c>
      <c r="J100" s="97"/>
      <c r="K100" s="98"/>
      <c r="L100" s="99"/>
      <c r="M100" s="94"/>
      <c r="N100" s="100"/>
      <c r="O100" s="96">
        <f t="shared" si="14"/>
        <v>0</v>
      </c>
      <c r="P100" s="101" t="str">
        <f t="shared" si="15"/>
        <v/>
      </c>
      <c r="Q100" s="102" t="str">
        <f t="shared" si="16"/>
        <v/>
      </c>
      <c r="R100" s="99"/>
      <c r="S100" s="94"/>
      <c r="T100" s="100"/>
      <c r="U100" s="96">
        <f t="shared" si="17"/>
        <v>0</v>
      </c>
      <c r="V100" s="101" t="str">
        <f t="shared" si="18"/>
        <v/>
      </c>
      <c r="W100" s="102" t="str">
        <f t="shared" si="19"/>
        <v/>
      </c>
      <c r="X100" s="99"/>
      <c r="Y100" s="94"/>
      <c r="Z100" s="100"/>
      <c r="AA100" s="96">
        <f t="shared" si="20"/>
        <v>0</v>
      </c>
      <c r="AB100" s="101" t="str">
        <f t="shared" si="21"/>
        <v/>
      </c>
      <c r="AC100" s="102" t="str">
        <f t="shared" si="22"/>
        <v/>
      </c>
    </row>
    <row r="101" spans="1:29">
      <c r="A101" s="92">
        <f>A100+1</f>
        <v>45</v>
      </c>
      <c r="B101" s="103" t="str">
        <f>[3]!ArticleCode(Art_40.25.)</f>
        <v>40.25.</v>
      </c>
      <c r="C101" s="134" t="str">
        <f>[3]!ArticleDescription(Art_40.25.)</f>
        <v>hang- en sluitwerk - panieksluitingen</v>
      </c>
      <c r="D101" s="94" t="str">
        <f>[3]!ArticleMeasureType(Art_40.25.)</f>
        <v>PM</v>
      </c>
      <c r="E101" s="94" t="str">
        <f>[3]!ArticleMeasureUnit(Art_40.25.)</f>
        <v/>
      </c>
      <c r="F101" s="104" t="str">
        <f>[3]!ArticleQuantity(Art_40.25.)</f>
        <v/>
      </c>
      <c r="G101" s="94"/>
      <c r="H101" s="96"/>
      <c r="I101" s="96">
        <f>IF(RIGHT($D101,1)="-","************",ROUND(IF(NOT(ISNUMBER(G101)),IF(NOT(ISNUMBER(F101)),1,F101),G101)*H101,2))</f>
        <v>0</v>
      </c>
      <c r="J101" s="97"/>
      <c r="K101" s="98"/>
      <c r="L101" s="99"/>
      <c r="M101" s="94"/>
      <c r="N101" s="100"/>
      <c r="O101" s="96">
        <f t="shared" si="14"/>
        <v>0</v>
      </c>
      <c r="P101" s="101" t="str">
        <f t="shared" si="15"/>
        <v/>
      </c>
      <c r="Q101" s="102" t="str">
        <f t="shared" si="16"/>
        <v/>
      </c>
      <c r="R101" s="99"/>
      <c r="S101" s="94"/>
      <c r="T101" s="100"/>
      <c r="U101" s="96">
        <f t="shared" si="17"/>
        <v>0</v>
      </c>
      <c r="V101" s="101" t="str">
        <f t="shared" si="18"/>
        <v/>
      </c>
      <c r="W101" s="102" t="str">
        <f t="shared" si="19"/>
        <v/>
      </c>
      <c r="X101" s="99"/>
      <c r="Y101" s="94"/>
      <c r="Z101" s="100"/>
      <c r="AA101" s="96">
        <f t="shared" si="20"/>
        <v>0</v>
      </c>
      <c r="AB101" s="101" t="str">
        <f t="shared" si="21"/>
        <v/>
      </c>
      <c r="AC101" s="102" t="str">
        <f t="shared" si="22"/>
        <v/>
      </c>
    </row>
    <row r="102" spans="1:29">
      <c r="A102" s="92">
        <f>A101+1</f>
        <v>46</v>
      </c>
      <c r="B102" s="103" t="str">
        <f>[3]!ArticleCode(Art_40.26.)</f>
        <v>40.26.</v>
      </c>
      <c r="C102" s="134" t="str">
        <f>[3]!ArticleDescription(Art_40.26.)</f>
        <v>hang- en sluitwerk - raamkrukken</v>
      </c>
      <c r="D102" s="94" t="str">
        <f>[3]!ArticleMeasureType(Art_40.26.)</f>
        <v>PM</v>
      </c>
      <c r="E102" s="94" t="str">
        <f>[3]!ArticleMeasureUnit(Art_40.26.)</f>
        <v/>
      </c>
      <c r="F102" s="104" t="str">
        <f>[3]!ArticleQuantity(Art_40.26.)</f>
        <v/>
      </c>
      <c r="G102" s="94"/>
      <c r="H102" s="96"/>
      <c r="I102" s="96">
        <f t="shared" si="25"/>
        <v>0</v>
      </c>
      <c r="J102" s="97"/>
      <c r="K102" s="98"/>
      <c r="L102" s="99"/>
      <c r="M102" s="94"/>
      <c r="N102" s="100"/>
      <c r="O102" s="96">
        <f t="shared" si="14"/>
        <v>0</v>
      </c>
      <c r="P102" s="101" t="str">
        <f t="shared" si="15"/>
        <v/>
      </c>
      <c r="Q102" s="102" t="str">
        <f t="shared" si="16"/>
        <v/>
      </c>
      <c r="R102" s="99"/>
      <c r="S102" s="94"/>
      <c r="T102" s="100"/>
      <c r="U102" s="96">
        <f t="shared" si="17"/>
        <v>0</v>
      </c>
      <c r="V102" s="101" t="str">
        <f t="shared" si="18"/>
        <v/>
      </c>
      <c r="W102" s="102" t="str">
        <f t="shared" si="19"/>
        <v/>
      </c>
      <c r="X102" s="99"/>
      <c r="Y102" s="94"/>
      <c r="Z102" s="100"/>
      <c r="AA102" s="96">
        <f t="shared" si="20"/>
        <v>0</v>
      </c>
      <c r="AB102" s="101" t="str">
        <f t="shared" si="21"/>
        <v/>
      </c>
      <c r="AC102" s="102" t="str">
        <f t="shared" si="22"/>
        <v/>
      </c>
    </row>
    <row r="103" spans="1:29">
      <c r="A103" s="92">
        <f>A102+1</f>
        <v>47</v>
      </c>
      <c r="B103" s="103" t="str">
        <f>[3]!ArticleCode(Art_40.27.)</f>
        <v>40.27.</v>
      </c>
      <c r="C103" s="134" t="str">
        <f>[3]!ArticleDescription(Art_40.27.)</f>
        <v>hang- en sluitwerk - deurkrukken</v>
      </c>
      <c r="D103" s="94" t="str">
        <f>[3]!ArticleMeasureType(Art_40.27.)</f>
        <v>PM</v>
      </c>
      <c r="E103" s="94" t="str">
        <f>[3]!ArticleMeasureUnit(Art_40.27.)</f>
        <v/>
      </c>
      <c r="F103" s="104" t="str">
        <f>[3]!ArticleQuantity(Art_40.27.)</f>
        <v/>
      </c>
      <c r="G103" s="94"/>
      <c r="H103" s="96"/>
      <c r="I103" s="96">
        <f t="shared" si="25"/>
        <v>0</v>
      </c>
      <c r="J103" s="97"/>
      <c r="K103" s="98"/>
      <c r="L103" s="99"/>
      <c r="M103" s="94"/>
      <c r="N103" s="100"/>
      <c r="O103" s="96">
        <f t="shared" si="14"/>
        <v>0</v>
      </c>
      <c r="P103" s="101" t="str">
        <f t="shared" si="15"/>
        <v/>
      </c>
      <c r="Q103" s="102" t="str">
        <f t="shared" si="16"/>
        <v/>
      </c>
      <c r="R103" s="99"/>
      <c r="S103" s="94"/>
      <c r="T103" s="100"/>
      <c r="U103" s="96">
        <f t="shared" si="17"/>
        <v>0</v>
      </c>
      <c r="V103" s="101" t="str">
        <f t="shared" si="18"/>
        <v/>
      </c>
      <c r="W103" s="102" t="str">
        <f t="shared" si="19"/>
        <v/>
      </c>
      <c r="X103" s="99"/>
      <c r="Y103" s="94"/>
      <c r="Z103" s="100"/>
      <c r="AA103" s="96">
        <f t="shared" si="20"/>
        <v>0</v>
      </c>
      <c r="AB103" s="101" t="str">
        <f t="shared" si="21"/>
        <v/>
      </c>
      <c r="AC103" s="102" t="str">
        <f t="shared" si="22"/>
        <v/>
      </c>
    </row>
    <row r="104" spans="1:29">
      <c r="A104" s="92">
        <f>A103+1</f>
        <v>48</v>
      </c>
      <c r="B104" s="103" t="str">
        <f>[3]!ArticleCode(Art_40.29.)</f>
        <v>40.29.</v>
      </c>
      <c r="C104" s="134" t="str">
        <f>[3]!ArticleDescription(Art_40.29.)</f>
        <v>hang- en sluitwerk - toebehoren</v>
      </c>
      <c r="D104" s="94" t="str">
        <f>[3]!ArticleMeasureType(Art_40.29.)</f>
        <v>PM</v>
      </c>
      <c r="E104" s="94" t="str">
        <f>[3]!ArticleMeasureUnit(Art_40.29.)</f>
        <v/>
      </c>
      <c r="F104" s="104" t="str">
        <f>[3]!ArticleQuantity(Art_40.29.)</f>
        <v/>
      </c>
      <c r="G104" s="94"/>
      <c r="H104" s="96"/>
      <c r="I104" s="96">
        <f t="shared" si="25"/>
        <v>0</v>
      </c>
      <c r="J104" s="97"/>
      <c r="K104" s="98"/>
      <c r="L104" s="99"/>
      <c r="M104" s="94"/>
      <c r="N104" s="100"/>
      <c r="O104" s="96">
        <f t="shared" si="14"/>
        <v>0</v>
      </c>
      <c r="P104" s="101" t="str">
        <f t="shared" si="15"/>
        <v/>
      </c>
      <c r="Q104" s="102" t="str">
        <f t="shared" si="16"/>
        <v/>
      </c>
      <c r="R104" s="99"/>
      <c r="S104" s="94"/>
      <c r="T104" s="100"/>
      <c r="U104" s="96">
        <f t="shared" si="17"/>
        <v>0</v>
      </c>
      <c r="V104" s="101" t="str">
        <f t="shared" si="18"/>
        <v/>
      </c>
      <c r="W104" s="102" t="str">
        <f t="shared" si="19"/>
        <v/>
      </c>
      <c r="X104" s="99"/>
      <c r="Y104" s="94"/>
      <c r="Z104" s="100"/>
      <c r="AA104" s="96">
        <f t="shared" si="20"/>
        <v>0</v>
      </c>
      <c r="AB104" s="101" t="str">
        <f t="shared" si="21"/>
        <v/>
      </c>
      <c r="AC104" s="102" t="str">
        <f t="shared" si="22"/>
        <v/>
      </c>
    </row>
    <row r="105" spans="1:29">
      <c r="A105" s="92"/>
      <c r="B105" s="103" t="str">
        <f>[3]!ArticleCode(Art_40.30.)</f>
        <v>40.30.</v>
      </c>
      <c r="C105" s="134" t="str">
        <f>[3]!ArticleDescription(Art_40.30.)</f>
        <v>ventilatieroosters - algemeen</v>
      </c>
      <c r="D105" s="94"/>
      <c r="E105" s="94"/>
      <c r="F105" s="94"/>
      <c r="G105" s="94"/>
      <c r="H105" s="96"/>
      <c r="I105" s="96"/>
      <c r="J105" s="97"/>
      <c r="K105" s="98"/>
      <c r="L105" s="99"/>
      <c r="M105" s="94"/>
      <c r="N105" s="100"/>
      <c r="O105" s="96">
        <f t="shared" si="14"/>
        <v>0</v>
      </c>
      <c r="P105" s="101" t="str">
        <f t="shared" si="15"/>
        <v/>
      </c>
      <c r="Q105" s="102" t="str">
        <f t="shared" si="16"/>
        <v/>
      </c>
      <c r="R105" s="99"/>
      <c r="S105" s="94"/>
      <c r="T105" s="100"/>
      <c r="U105" s="96">
        <f t="shared" si="17"/>
        <v>0</v>
      </c>
      <c r="V105" s="101" t="str">
        <f t="shared" si="18"/>
        <v/>
      </c>
      <c r="W105" s="102" t="str">
        <f t="shared" si="19"/>
        <v/>
      </c>
      <c r="X105" s="99"/>
      <c r="Y105" s="94"/>
      <c r="Z105" s="100"/>
      <c r="AA105" s="96">
        <f t="shared" si="20"/>
        <v>0</v>
      </c>
      <c r="AB105" s="101" t="str">
        <f t="shared" si="21"/>
        <v/>
      </c>
      <c r="AC105" s="102" t="str">
        <f t="shared" si="22"/>
        <v/>
      </c>
    </row>
    <row r="106" spans="1:29">
      <c r="A106" s="92"/>
      <c r="B106" s="103" t="str">
        <f>[3]!ArticleCode(Art_40.32.)</f>
        <v>40.32.</v>
      </c>
      <c r="C106" s="134" t="str">
        <f>[3]!ArticleDescription(Art_40.32.)</f>
        <v>ventilatieroosters - op profiel</v>
      </c>
      <c r="D106" s="94"/>
      <c r="E106" s="94"/>
      <c r="F106" s="94"/>
      <c r="G106" s="94"/>
      <c r="H106" s="96"/>
      <c r="I106" s="96"/>
      <c r="J106" s="97"/>
      <c r="K106" s="98"/>
      <c r="L106" s="99"/>
      <c r="M106" s="94"/>
      <c r="N106" s="100"/>
      <c r="O106" s="96">
        <f t="shared" si="14"/>
        <v>0</v>
      </c>
      <c r="P106" s="101" t="str">
        <f t="shared" si="15"/>
        <v/>
      </c>
      <c r="Q106" s="102" t="str">
        <f t="shared" si="16"/>
        <v/>
      </c>
      <c r="R106" s="99"/>
      <c r="S106" s="94"/>
      <c r="T106" s="100"/>
      <c r="U106" s="96">
        <f t="shared" si="17"/>
        <v>0</v>
      </c>
      <c r="V106" s="101" t="str">
        <f t="shared" si="18"/>
        <v/>
      </c>
      <c r="W106" s="102" t="str">
        <f t="shared" si="19"/>
        <v/>
      </c>
      <c r="X106" s="99"/>
      <c r="Y106" s="94"/>
      <c r="Z106" s="100"/>
      <c r="AA106" s="96">
        <f t="shared" si="20"/>
        <v>0</v>
      </c>
      <c r="AB106" s="101" t="str">
        <f t="shared" si="21"/>
        <v/>
      </c>
      <c r="AC106" s="102" t="str">
        <f t="shared" si="22"/>
        <v/>
      </c>
    </row>
    <row r="107" spans="1:29">
      <c r="A107" s="92">
        <f>A104+1</f>
        <v>49</v>
      </c>
      <c r="B107" s="103" t="str">
        <f>[3]!ArticleCode(Art_40.32.10)</f>
        <v>40.32.10</v>
      </c>
      <c r="C107" s="134" t="str">
        <f>[3]!ArticleDescription(Art_40.32.10)</f>
        <v>ventilatieroosters - op profiel/kleprooster (optioneel)</v>
      </c>
      <c r="D107" s="94" t="str">
        <f>[3]!ArticleMeasureType(Art_40.32.10)</f>
        <v>VH</v>
      </c>
      <c r="E107" s="94" t="str">
        <f>[3]!ArticleMeasureUnit(Art_40.32.10)</f>
        <v>m</v>
      </c>
      <c r="F107" s="111">
        <f>[3]!ArticleQuantity(Art_40.32.10)</f>
        <v>14.96</v>
      </c>
      <c r="G107" s="94"/>
      <c r="H107" s="96"/>
      <c r="I107" s="96">
        <f>IF(RIGHT($D107,1)="-","************",ROUND(IF(NOT(ISNUMBER(G107)),IF(NOT(ISNUMBER(F107)),1,F107),G107)*H107,2))</f>
        <v>0</v>
      </c>
      <c r="J107" s="97"/>
      <c r="K107" s="98"/>
      <c r="L107" s="99"/>
      <c r="M107" s="94"/>
      <c r="N107" s="100"/>
      <c r="O107" s="96">
        <f t="shared" si="14"/>
        <v>0</v>
      </c>
      <c r="P107" s="101" t="str">
        <f t="shared" si="15"/>
        <v/>
      </c>
      <c r="Q107" s="102" t="str">
        <f t="shared" si="16"/>
        <v/>
      </c>
      <c r="R107" s="99"/>
      <c r="S107" s="94"/>
      <c r="T107" s="100"/>
      <c r="U107" s="96">
        <f t="shared" si="17"/>
        <v>0</v>
      </c>
      <c r="V107" s="101" t="str">
        <f t="shared" si="18"/>
        <v/>
      </c>
      <c r="W107" s="102" t="str">
        <f t="shared" si="19"/>
        <v/>
      </c>
      <c r="X107" s="99"/>
      <c r="Y107" s="94"/>
      <c r="Z107" s="100"/>
      <c r="AA107" s="96">
        <f t="shared" si="20"/>
        <v>0</v>
      </c>
      <c r="AB107" s="101" t="str">
        <f t="shared" si="21"/>
        <v/>
      </c>
      <c r="AC107" s="102" t="str">
        <f t="shared" si="22"/>
        <v/>
      </c>
    </row>
    <row r="108" spans="1:29">
      <c r="A108" s="92"/>
      <c r="B108" s="103" t="str">
        <f>[3]!ArticleCode(Art_40.40)</f>
        <v>40.40</v>
      </c>
      <c r="C108" s="134" t="str">
        <f>[3]!ArticleDescription(Art_40.40)</f>
        <v>beglazing - algemeen</v>
      </c>
      <c r="D108" s="94"/>
      <c r="E108" s="94"/>
      <c r="F108" s="94"/>
      <c r="G108" s="94"/>
      <c r="H108" s="96"/>
      <c r="I108" s="96"/>
      <c r="J108" s="97"/>
      <c r="K108" s="98"/>
      <c r="L108" s="99"/>
      <c r="M108" s="94"/>
      <c r="N108" s="100"/>
      <c r="O108" s="96">
        <f t="shared" si="14"/>
        <v>0</v>
      </c>
      <c r="P108" s="101" t="str">
        <f t="shared" si="15"/>
        <v/>
      </c>
      <c r="Q108" s="102" t="str">
        <f t="shared" si="16"/>
        <v/>
      </c>
      <c r="R108" s="99"/>
      <c r="S108" s="94"/>
      <c r="T108" s="100"/>
      <c r="U108" s="96">
        <f t="shared" si="17"/>
        <v>0</v>
      </c>
      <c r="V108" s="101" t="str">
        <f t="shared" si="18"/>
        <v/>
      </c>
      <c r="W108" s="102" t="str">
        <f t="shared" si="19"/>
        <v/>
      </c>
      <c r="X108" s="99"/>
      <c r="Y108" s="94"/>
      <c r="Z108" s="100"/>
      <c r="AA108" s="96">
        <f t="shared" si="20"/>
        <v>0</v>
      </c>
      <c r="AB108" s="101" t="str">
        <f t="shared" si="21"/>
        <v/>
      </c>
      <c r="AC108" s="102" t="str">
        <f t="shared" si="22"/>
        <v/>
      </c>
    </row>
    <row r="109" spans="1:29">
      <c r="A109" s="92"/>
      <c r="B109" s="103" t="str">
        <f>[3]!ArticleCode(Art_40.40.10.)</f>
        <v>40.40.10.</v>
      </c>
      <c r="C109" s="134" t="str">
        <f>[3]!ArticleDescription(Art_40.40.10.)</f>
        <v>beglazing – prestaties</v>
      </c>
      <c r="D109" s="94"/>
      <c r="E109" s="94"/>
      <c r="F109" s="94"/>
      <c r="G109" s="94"/>
      <c r="H109" s="96"/>
      <c r="I109" s="96"/>
      <c r="J109" s="97"/>
      <c r="K109" s="98"/>
      <c r="L109" s="99"/>
      <c r="M109" s="94"/>
      <c r="N109" s="100"/>
      <c r="O109" s="96">
        <f t="shared" si="14"/>
        <v>0</v>
      </c>
      <c r="P109" s="101" t="str">
        <f t="shared" si="15"/>
        <v/>
      </c>
      <c r="Q109" s="102" t="str">
        <f t="shared" si="16"/>
        <v/>
      </c>
      <c r="R109" s="99"/>
      <c r="S109" s="94"/>
      <c r="T109" s="100"/>
      <c r="U109" s="96">
        <f t="shared" si="17"/>
        <v>0</v>
      </c>
      <c r="V109" s="101" t="str">
        <f t="shared" si="18"/>
        <v/>
      </c>
      <c r="W109" s="102" t="str">
        <f t="shared" si="19"/>
        <v/>
      </c>
      <c r="X109" s="99"/>
      <c r="Y109" s="94"/>
      <c r="Z109" s="100"/>
      <c r="AA109" s="96">
        <f t="shared" si="20"/>
        <v>0</v>
      </c>
      <c r="AB109" s="101" t="str">
        <f t="shared" si="21"/>
        <v/>
      </c>
      <c r="AC109" s="102" t="str">
        <f t="shared" si="22"/>
        <v/>
      </c>
    </row>
    <row r="110" spans="1:29">
      <c r="A110" s="92"/>
      <c r="B110" s="103" t="str">
        <f>[3]!ArticleCode(Art_40.42.)</f>
        <v>40.42.</v>
      </c>
      <c r="C110" s="134" t="str">
        <f>[3]!ArticleDescription(Art_40.42.)</f>
        <v>beglazing - dubbele beglazing</v>
      </c>
      <c r="D110" s="94"/>
      <c r="E110" s="94"/>
      <c r="F110" s="94"/>
      <c r="G110" s="94"/>
      <c r="H110" s="96"/>
      <c r="I110" s="96"/>
      <c r="J110" s="97"/>
      <c r="K110" s="98"/>
      <c r="L110" s="99"/>
      <c r="M110" s="94"/>
      <c r="N110" s="100"/>
      <c r="O110" s="96">
        <f t="shared" ref="O110:O141" si="26">IF(MID($D110,3,1)="-","*********",ROUND(IF(NOT(ISNUMBER($G110)),IF(NOT(ISNUMBER($F110)),1,$F110),$G110)*(IF(NOT(ISNUMBER(N110)),L110,N110)),2))</f>
        <v>0</v>
      </c>
      <c r="P110" s="101" t="str">
        <f t="shared" si="15"/>
        <v/>
      </c>
      <c r="Q110" s="102" t="str">
        <f t="shared" si="16"/>
        <v/>
      </c>
      <c r="R110" s="99"/>
      <c r="S110" s="94"/>
      <c r="T110" s="100"/>
      <c r="U110" s="96">
        <f t="shared" ref="U110:U141" si="27">IF(MID($D110,3,1)="-","*********",ROUND(IF(NOT(ISNUMBER($G110)),IF(NOT(ISNUMBER($F110)),1,$F110),$G110)*(IF(NOT(ISNUMBER(T110)),R110,T110)),2))</f>
        <v>0</v>
      </c>
      <c r="V110" s="101" t="str">
        <f t="shared" si="18"/>
        <v/>
      </c>
      <c r="W110" s="102" t="str">
        <f t="shared" si="19"/>
        <v/>
      </c>
      <c r="X110" s="99"/>
      <c r="Y110" s="94"/>
      <c r="Z110" s="100"/>
      <c r="AA110" s="96">
        <f t="shared" ref="AA110:AA141" si="28">IF(MID($D110,3,1)="-","*********",ROUND(IF(NOT(ISNUMBER($G110)),IF(NOT(ISNUMBER($F110)),1,$F110),$G110)*(IF(NOT(ISNUMBER(Z110)),X110,Z110)),2))</f>
        <v>0</v>
      </c>
      <c r="AB110" s="101" t="str">
        <f t="shared" si="21"/>
        <v/>
      </c>
      <c r="AC110" s="102" t="str">
        <f t="shared" si="22"/>
        <v/>
      </c>
    </row>
    <row r="111" spans="1:29">
      <c r="A111" s="92">
        <f>A107+1</f>
        <v>50</v>
      </c>
      <c r="B111" s="103" t="str">
        <f>[3]!ArticleCode(Art_40.42.10)</f>
        <v>40.42.10</v>
      </c>
      <c r="C111" s="134" t="str">
        <f>[3]!ArticleDescription(Art_40.42.10)</f>
        <v>beglazing - dubbele beglazing/type 1</v>
      </c>
      <c r="D111" s="94" t="str">
        <f>[3]!ArticleMeasureType(Art_40.42.10)</f>
        <v>PM</v>
      </c>
      <c r="E111" s="94" t="str">
        <f>[3]!ArticleMeasureUnit(Art_40.42.10)</f>
        <v/>
      </c>
      <c r="F111" s="104" t="str">
        <f>[3]!ArticleQuantity(Art_40.42.10)</f>
        <v/>
      </c>
      <c r="G111" s="94"/>
      <c r="H111" s="96"/>
      <c r="I111" s="96">
        <f>IF(RIGHT($D111,1)="-","************",ROUND(IF(NOT(ISNUMBER(G111)),IF(NOT(ISNUMBER(F111)),1,F111),G111)*H111,2))</f>
        <v>0</v>
      </c>
      <c r="J111" s="97"/>
      <c r="K111" s="98"/>
      <c r="L111" s="99"/>
      <c r="M111" s="94"/>
      <c r="N111" s="100"/>
      <c r="O111" s="96">
        <f t="shared" si="26"/>
        <v>0</v>
      </c>
      <c r="P111" s="101" t="str">
        <f t="shared" si="15"/>
        <v/>
      </c>
      <c r="Q111" s="102" t="str">
        <f t="shared" si="16"/>
        <v/>
      </c>
      <c r="R111" s="99"/>
      <c r="S111" s="94"/>
      <c r="T111" s="100"/>
      <c r="U111" s="96">
        <f t="shared" si="27"/>
        <v>0</v>
      </c>
      <c r="V111" s="101" t="str">
        <f t="shared" si="18"/>
        <v/>
      </c>
      <c r="W111" s="102" t="str">
        <f t="shared" si="19"/>
        <v/>
      </c>
      <c r="X111" s="99"/>
      <c r="Y111" s="94"/>
      <c r="Z111" s="100"/>
      <c r="AA111" s="96">
        <f t="shared" si="28"/>
        <v>0</v>
      </c>
      <c r="AB111" s="101" t="str">
        <f t="shared" si="21"/>
        <v/>
      </c>
      <c r="AC111" s="102" t="str">
        <f t="shared" si="22"/>
        <v/>
      </c>
    </row>
    <row r="112" spans="1:29">
      <c r="A112" s="92"/>
      <c r="B112" s="103" t="str">
        <f>[3]!ArticleCode(Art_40.60.)</f>
        <v>40.60.01</v>
      </c>
      <c r="C112" s="134" t="str">
        <f>[3]!ArticleDescription(Art_40.60.)</f>
        <v>raamdorpels - algemeen (bestaand)</v>
      </c>
      <c r="D112" s="94"/>
      <c r="E112" s="94"/>
      <c r="F112" s="94"/>
      <c r="G112" s="94"/>
      <c r="H112" s="96"/>
      <c r="I112" s="96"/>
      <c r="J112" s="97"/>
      <c r="K112" s="98"/>
      <c r="L112" s="99"/>
      <c r="M112" s="94"/>
      <c r="N112" s="100"/>
      <c r="O112" s="96">
        <f t="shared" si="26"/>
        <v>0</v>
      </c>
      <c r="P112" s="101" t="str">
        <f t="shared" si="15"/>
        <v/>
      </c>
      <c r="Q112" s="102" t="str">
        <f t="shared" si="16"/>
        <v/>
      </c>
      <c r="R112" s="99"/>
      <c r="S112" s="94"/>
      <c r="T112" s="100"/>
      <c r="U112" s="96">
        <f t="shared" si="27"/>
        <v>0</v>
      </c>
      <c r="V112" s="101" t="str">
        <f t="shared" si="18"/>
        <v/>
      </c>
      <c r="W112" s="102" t="str">
        <f t="shared" si="19"/>
        <v/>
      </c>
      <c r="X112" s="99"/>
      <c r="Y112" s="94"/>
      <c r="Z112" s="100"/>
      <c r="AA112" s="96">
        <f t="shared" si="28"/>
        <v>0</v>
      </c>
      <c r="AB112" s="101" t="str">
        <f t="shared" si="21"/>
        <v/>
      </c>
      <c r="AC112" s="102" t="str">
        <f t="shared" si="22"/>
        <v/>
      </c>
    </row>
    <row r="113" spans="1:29">
      <c r="A113" s="92"/>
      <c r="B113" s="103" t="str">
        <f>[3]!ArticleCode(Art_40.60.02)</f>
        <v>40.60.02</v>
      </c>
      <c r="C113" s="134" t="str">
        <f>[3]!ArticleDescription(Art_40.60.02)</f>
        <v>raamdorpels - algemeen (nieuw)</v>
      </c>
      <c r="D113" s="94"/>
      <c r="E113" s="94"/>
      <c r="F113" s="94"/>
      <c r="G113" s="94"/>
      <c r="H113" s="96"/>
      <c r="I113" s="96"/>
      <c r="J113" s="97"/>
      <c r="K113" s="98"/>
      <c r="L113" s="99"/>
      <c r="M113" s="94"/>
      <c r="N113" s="100"/>
      <c r="O113" s="96">
        <f t="shared" si="26"/>
        <v>0</v>
      </c>
      <c r="P113" s="101" t="str">
        <f t="shared" si="15"/>
        <v/>
      </c>
      <c r="Q113" s="102" t="str">
        <f t="shared" si="16"/>
        <v/>
      </c>
      <c r="R113" s="99"/>
      <c r="S113" s="94"/>
      <c r="T113" s="100"/>
      <c r="U113" s="96">
        <f t="shared" si="27"/>
        <v>0</v>
      </c>
      <c r="V113" s="101" t="str">
        <f t="shared" si="18"/>
        <v/>
      </c>
      <c r="W113" s="102" t="str">
        <f t="shared" si="19"/>
        <v/>
      </c>
      <c r="X113" s="99"/>
      <c r="Y113" s="94"/>
      <c r="Z113" s="100"/>
      <c r="AA113" s="96">
        <f t="shared" si="28"/>
        <v>0</v>
      </c>
      <c r="AB113" s="101" t="str">
        <f t="shared" si="21"/>
        <v/>
      </c>
      <c r="AC113" s="102" t="str">
        <f t="shared" si="22"/>
        <v/>
      </c>
    </row>
    <row r="114" spans="1:29">
      <c r="A114" s="92">
        <f>A111+1</f>
        <v>51</v>
      </c>
      <c r="B114" s="103" t="str">
        <f>[3]!ArticleCode(Art_40.61)</f>
        <v>40.61</v>
      </c>
      <c r="C114" s="134" t="str">
        <f>[3]!ArticleDescription(Art_40.61)</f>
        <v>raamdorpels - arduin (in dossier ruwbouw)</v>
      </c>
      <c r="D114" s="94" t="str">
        <f>[3]!ArticleMeasureType(Art_40.61)</f>
        <v/>
      </c>
      <c r="E114" s="94" t="str">
        <f>[3]!ArticleMeasureUnit(Art_40.61)</f>
        <v/>
      </c>
      <c r="F114" s="111"/>
      <c r="G114" s="94"/>
      <c r="H114" s="96"/>
      <c r="I114" s="96">
        <f>IF(RIGHT($D114,1)="-","************",ROUND(IF(NOT(ISNUMBER(G114)),IF(NOT(ISNUMBER(F114)),1,F114),G114)*H114,2))</f>
        <v>0</v>
      </c>
      <c r="J114" s="97"/>
      <c r="K114" s="98"/>
      <c r="L114" s="99"/>
      <c r="M114" s="94"/>
      <c r="N114" s="100"/>
      <c r="O114" s="96">
        <f t="shared" si="26"/>
        <v>0</v>
      </c>
      <c r="P114" s="101" t="str">
        <f t="shared" si="15"/>
        <v/>
      </c>
      <c r="Q114" s="102" t="str">
        <f t="shared" si="16"/>
        <v/>
      </c>
      <c r="R114" s="99"/>
      <c r="S114" s="94"/>
      <c r="T114" s="100"/>
      <c r="U114" s="96">
        <f t="shared" si="27"/>
        <v>0</v>
      </c>
      <c r="V114" s="101" t="str">
        <f t="shared" si="18"/>
        <v/>
      </c>
      <c r="W114" s="102" t="str">
        <f t="shared" si="19"/>
        <v/>
      </c>
      <c r="X114" s="99"/>
      <c r="Y114" s="94"/>
      <c r="Z114" s="100"/>
      <c r="AA114" s="96">
        <f t="shared" si="28"/>
        <v>0</v>
      </c>
      <c r="AB114" s="101" t="str">
        <f t="shared" si="21"/>
        <v/>
      </c>
      <c r="AC114" s="102" t="str">
        <f t="shared" si="22"/>
        <v/>
      </c>
    </row>
    <row r="115" spans="1:29">
      <c r="A115" s="92"/>
      <c r="B115" s="105"/>
      <c r="C115" s="106"/>
      <c r="D115" s="107"/>
      <c r="E115" s="106"/>
      <c r="F115" s="106"/>
      <c r="G115" s="106"/>
      <c r="H115" s="108"/>
      <c r="I115" s="108"/>
      <c r="J115" s="109">
        <f>SUBTOTAL(9,I67:I114)</f>
        <v>0</v>
      </c>
      <c r="K115" s="98"/>
      <c r="L115" s="99"/>
      <c r="M115" s="94"/>
      <c r="N115" s="100"/>
      <c r="O115" s="96">
        <f t="shared" si="26"/>
        <v>0</v>
      </c>
      <c r="P115" s="101" t="str">
        <f t="shared" si="15"/>
        <v/>
      </c>
      <c r="Q115" s="102" t="str">
        <f t="shared" si="16"/>
        <v/>
      </c>
      <c r="R115" s="99"/>
      <c r="S115" s="94"/>
      <c r="T115" s="100"/>
      <c r="U115" s="96">
        <f t="shared" si="27"/>
        <v>0</v>
      </c>
      <c r="V115" s="101" t="str">
        <f t="shared" si="18"/>
        <v/>
      </c>
      <c r="W115" s="102" t="str">
        <f t="shared" si="19"/>
        <v/>
      </c>
      <c r="X115" s="99"/>
      <c r="Y115" s="94"/>
      <c r="Z115" s="100"/>
      <c r="AA115" s="96">
        <f t="shared" si="28"/>
        <v>0</v>
      </c>
      <c r="AB115" s="101" t="str">
        <f t="shared" si="21"/>
        <v/>
      </c>
      <c r="AC115" s="102" t="str">
        <f t="shared" si="22"/>
        <v/>
      </c>
    </row>
    <row r="116" spans="1:29">
      <c r="A116" s="112"/>
      <c r="B116" s="112"/>
      <c r="C116" s="112"/>
      <c r="D116" s="112"/>
      <c r="E116" s="112"/>
      <c r="F116" s="113"/>
      <c r="G116" s="114" t="s">
        <v>45</v>
      </c>
      <c r="H116" s="115"/>
      <c r="I116" s="116">
        <f>SUM(I$15:I115)</f>
        <v>0</v>
      </c>
      <c r="J116" s="117">
        <f>SUM(J$15:J115)</f>
        <v>0</v>
      </c>
      <c r="K116" s="118"/>
      <c r="L116" s="61"/>
      <c r="M116" s="61"/>
      <c r="N116" s="61"/>
      <c r="O116" s="61">
        <f>SUM(O$14:O115)</f>
        <v>0</v>
      </c>
      <c r="P116" s="61"/>
      <c r="Q116" s="61"/>
      <c r="R116" s="61"/>
      <c r="S116" s="61"/>
      <c r="T116" s="61"/>
      <c r="U116" s="61">
        <f>SUM(U$14:U115)</f>
        <v>0</v>
      </c>
      <c r="V116" s="61"/>
      <c r="W116" s="61"/>
      <c r="X116" s="61"/>
      <c r="Y116" s="61"/>
      <c r="Z116" s="61"/>
      <c r="AA116" s="61">
        <f>SUM(AA$14:AA115)</f>
        <v>0</v>
      </c>
      <c r="AB116" s="61"/>
      <c r="AC116" s="61"/>
    </row>
    <row r="117" spans="1:29">
      <c r="A117" s="119"/>
      <c r="B117" s="119"/>
      <c r="C117" s="119"/>
      <c r="D117" s="119"/>
      <c r="E117" s="119"/>
      <c r="F117" s="119"/>
      <c r="G117" s="120"/>
      <c r="H117" s="121"/>
      <c r="I117" s="122"/>
      <c r="J117" s="123"/>
      <c r="K117" s="92"/>
    </row>
    <row r="118" spans="1:29">
      <c r="A118" s="119"/>
      <c r="B118" s="119"/>
      <c r="C118" s="119"/>
      <c r="D118" s="119"/>
      <c r="E118" s="119"/>
      <c r="F118" s="119"/>
      <c r="G118" s="124" t="s">
        <v>119</v>
      </c>
      <c r="H118" s="125">
        <v>0.21</v>
      </c>
      <c r="I118" s="126">
        <f>ROUND(I116*H118,2)</f>
        <v>0</v>
      </c>
      <c r="J118" s="123">
        <f>ROUND(J116*H118,2)</f>
        <v>0</v>
      </c>
      <c r="K118" s="92"/>
    </row>
    <row r="119" spans="1:29">
      <c r="A119" s="119"/>
      <c r="B119" s="119"/>
      <c r="C119" s="119"/>
      <c r="D119" s="119"/>
      <c r="E119" s="119"/>
      <c r="F119" s="119"/>
      <c r="G119" s="120"/>
      <c r="H119" s="121"/>
      <c r="I119" s="116"/>
      <c r="J119" s="117"/>
      <c r="K119" s="92"/>
    </row>
    <row r="120" spans="1:29" ht="13.5" thickBot="1">
      <c r="A120" s="119"/>
      <c r="B120" s="119"/>
      <c r="C120" s="119"/>
      <c r="D120" s="119"/>
      <c r="E120" s="119"/>
      <c r="F120" s="119"/>
      <c r="G120" s="127" t="s">
        <v>46</v>
      </c>
      <c r="H120" s="128"/>
      <c r="I120" s="129">
        <f>I118+I116</f>
        <v>0</v>
      </c>
      <c r="J120" s="130">
        <f>J118+J116</f>
        <v>0</v>
      </c>
      <c r="K120" s="92"/>
    </row>
    <row r="121" spans="1:29" ht="13.5" thickTop="1"/>
  </sheetData>
  <mergeCells count="5">
    <mergeCell ref="E4:I4"/>
    <mergeCell ref="D5:I5"/>
    <mergeCell ref="E9:I9"/>
    <mergeCell ref="D10:I10"/>
    <mergeCell ref="D13:E13"/>
  </mergeCells>
  <pageMargins left="0.27559055118110237" right="0.27559055118110237" top="0.78740157480314965" bottom="0.78740157480314965" header="0.51181102362204722" footer="0.51181102362204722"/>
  <pageSetup paperSize="9" orientation="landscape" horizontalDpi="300" verticalDpi="300" r:id="rId1"/>
  <headerFooter alignWithMargins="0">
    <oddHeader>&amp;L&amp;D&amp;CSamenvattende opmeting dossier xxx - lot xxx&amp;R&amp;P</oddHeader>
  </headerFooter>
  <colBreaks count="2" manualBreakCount="2">
    <brk id="10" max="29" man="1"/>
    <brk id="23" max="29" man="1"/>
  </colBreak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refwoorden xmlns="3447e10d-afba-460a-88bb-994e83ea985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A3C1CBACE648895EAFAC592DECCA" ma:contentTypeVersion="11" ma:contentTypeDescription="Een nieuw document maken." ma:contentTypeScope="" ma:versionID="eb50c0215af4ef62a49f8a27275af6f1">
  <xsd:schema xmlns:xsd="http://www.w3.org/2001/XMLSchema" xmlns:xs="http://www.w3.org/2001/XMLSchema" xmlns:p="http://schemas.microsoft.com/office/2006/metadata/properties" xmlns:ns2="3447e10d-afba-460a-88bb-994e83ea9854" xmlns:ns3="4bf07be7-f9d3-4fd1-a239-b06f4cb76c1a" targetNamespace="http://schemas.microsoft.com/office/2006/metadata/properties" ma:root="true" ma:fieldsID="0b96945f6e9a19acce2a27781985bbd2" ns2:_="" ns3:_="">
    <xsd:import namespace="3447e10d-afba-460a-88bb-994e83ea9854"/>
    <xsd:import namespace="4bf07be7-f9d3-4fd1-a239-b06f4cb76c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Trefwoord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47e10d-afba-460a-88bb-994e83ea98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Trefwoorden" ma:index="13" nillable="true" ma:displayName="Trefwoorden" ma:description="Trefwoorden" ma:internalName="Trefwoorden">
      <xsd:simpleType>
        <xsd:restriction base="dms:Text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07be7-f9d3-4fd1-a239-b06f4cb76c1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datamerge>
  <properties>
    <property name="Dossiernummer" code="[Dossiernummer]" value="DED17"/>
    <property name="Dossiernaam" code="[Dossiernaam]" value="Woning Eva&amp; David"/>
    <property name="Bouwheer" code="[Bouwheer]" value="Eva&amp;David" link="Bouwheren">
      <property name="ID" code="[Bouwheer.ID]" value="Eva&amp;David"/>
      <property name="Bedrijfsnaam" code="[Bouwheer.Bedrijfsnaam]" value=""/>
      <property name="Bedrijfsvorm" code="[Bouwheer.Bedrijfsvorm]" value=""/>
      <property name="Aanspreking" code="[Bouwheer.Aanspreking]" value="dhr."/>
      <property name="Naam" code="[Bouwheer.Naam]" value="DE REU"/>
      <property name="Voornaam" code="[Bouwheer.Voornaam]" value="David"/>
      <property name="en" code="[Bouwheer.en]" value="&amp;"/>
      <property name="Aanspreking2" code="[Bouwheer.Aanspreking2]" value="mvr."/>
      <property name="Naam2" code="[Bouwheer.Naam2]" value="VAN CAENEGEM"/>
      <property name="Voornaam2" code="[Bouwheer.Voornaam2]" value="Eva"/>
      <property name="BouwheerNaam" code="[Bouwheer.BouwheerNaam]" value="dhr. David DE REU &amp; mvr. Eva VAN CAENEGEM"/>
      <property name="Adres" code="[Bouwheer.Adres]" value="Bollebergen 39"/>
      <property name="Postcode" code="[Bouwheer.Postcode]" value="9052"/>
      <property name="Gemeente" code="[Bouwheer.Gemeente]" value="Zwijnaarde"/>
      <property name="Telefoon" code="[Bouwheer.Telefoon]" value=""/>
      <property name="Email" code="[Bouwheer.Email]" value="" func="@"/>
      <property name="GSM" code="[Bouwheer.GSM]" value=""/>
      <property name="Fax" code="[Bouwheer.Fax]" value=""/>
      <property name="BTW" code="[Bouwheer.BTW]" value=""/>
      <property name="Ondernemingsnummer" code="[Bouwheer.Ondernemingsnummer]" value=""/>
      <property name="MaatschappelijkeZetel" code="[Bouwheer.MaatschappelijkeZetel]" value=""/>
    </property>
    <property name="Dossieromschrijving" code="[Dossieromschrijving]" value="Bouwen van een ééngezinswoning"/>
    <property name="Dossiermap" code="[Dossiermap]" value="DED"/>
    <property name="Dossierdatum" code="[Dossierdatum]" value=""/>
    <property name="Projectstatus" code="[Projectstatus]" value="bouwaanvraag"/>
    <property name="Werf" code="[Werf]" value="Antoon Catriestraat - 9031 Drongen" link="Werven">
      <property name="ID" code="[Werf.ID]" value=""/>
      <property name="Provincie" code="[Werf.Provincie]" value=""/>
      <property name="Adres" code="[Werf.Adres]" value=""/>
      <property name="Postcode" code="[Werf.Postcode]" value=""/>
      <property name="Gemeente" code="[Werf.Gemeente]" value=""/>
      <property name="Telefoon" code="[Werf.Telefoon]" value=""/>
      <property name="Fax" code="[Werf.Fax]" value=""/>
      <property name="DatumStart" code="[Werf.DatumStart]" value=""/>
      <property name="Kadaster" code="[Werf.Kadaster]" value=""/>
      <property name="Verkaveling" code="[Werf.Verkaveling]" value=""/>
      <property name="DatumVerkaveling" code="[Werf.DatumVerkaveling]" value=""/>
      <property name="Werfleider" code="[Werf.Werfleider]" value="" link="Medewerkers">
        <property name="ID" code="[Werf.Werfleider.ID]" value=""/>
        <property name="Naam" code="[Werf.Werfleider.Naam]" value=""/>
        <property name="Voornaam" code="[Werf.Werfleider.Voornaam]" value=""/>
        <property name="Functie" code="[Werf.Werfleider.Functie]" value=""/>
        <property name="Email" code="[Werf.Werfleider.Email]" value="" func="@"/>
      </property>
    </property>
    <group name="Architecten">
      <property name="Architect" code="[Architect]" value="" link="Architecten">
        <property name="ID" code="[Architect.ID]" value=""/>
        <property name="Bedrijfsnaam" code="[Architect.Bedrijfsnaam]" value=""/>
        <property name="Bedrijfsvorm" code="[Architect.Bedrijfsvorm]" value=""/>
        <property name="Aanspreking" code="[Architect.Aanspreking]" value=""/>
        <property name="Naam" code="[Architect.Naam]" value=""/>
        <property name="Voornaam" code="[Architect.Voornaam]" value=""/>
        <property name="Adres" code="[Architect.Adres]" value=""/>
        <property name="Postcode" code="[Architect.Postcode]" value=""/>
        <property name="Gemeente" code="[Architect.Gemeente]" value=""/>
        <property name="Telefoon" code="[Architect.Telefoon]" value=""/>
        <property name="Email" code="[Architect.Email]" value="" func="@"/>
        <property name="GSM" code="[Architect.GSM]" value=""/>
        <property name="Fax" code="[Architect.Fax]" value=""/>
        <property name="Disciplines" code="[Architect.Disciplines]" value=""/>
        <property name="Ondernemingsnummer" code="[Architect.Ondernemingsnummer]" value=""/>
        <property name="MaatschappelijkeZetel" code="[Architect.MaatschappelijkeZetel]" value=""/>
        <property name="RPR" code="[Architect.RPR]" value=""/>
        <property name="OrdeProvincie" code="[Architect.OrdeProvincie]" value=""/>
      </property>
      <property name="Interieurarchitect" code="[Interieurarchitect]" value="" link="Architecten">
        <property name="ID" code="[Interieurarchitect.ID]" value=""/>
        <property name="Bedrijfsnaam" code="[Interieurarchitect.Bedrijfsnaam]" value=""/>
        <property name="Bedrijfsvorm" code="[Interieurarchitect.Bedrijfsvorm]" value=""/>
        <property name="Aanspreking" code="[Interieurarchitect.Aanspreking]" value=""/>
        <property name="Naam" code="[Interieurarchitect.Naam]" value=""/>
        <property name="Voornaam" code="[Interieurarchitect.Voornaam]" value=""/>
        <property name="Adres" code="[Interieurarchitect.Adres]" value=""/>
        <property name="Postcode" code="[Interieurarchitect.Postcode]" value=""/>
        <property name="Gemeente" code="[Interieurarchitect.Gemeente]" value=""/>
        <property name="Telefoon" code="[Interieurarchitect.Telefoon]" value=""/>
        <property name="Email" code="[Interieurarchitect.Email]" value="" func="@"/>
        <property name="GSM" code="[Interieurarchitect.GSM]" value=""/>
        <property name="Fax" code="[Interieurarchitect.Fax]" value=""/>
        <property name="Disciplines" code="[Interieurarchitect.Disciplines]" value=""/>
        <property name="Ondernemingsnummer" code="[Interieurarchitect.Ondernemingsnummer]" value=""/>
        <property name="MaatschappelijkeZetel" code="[Interieurarchitect.MaatschappelijkeZetel]" value=""/>
        <property name="RPR" code="[Interieurarchitect.RPR]" value=""/>
        <property name="OrdeProvincie" code="[Interieurarchitect.OrdeProvincie]" value=""/>
      </property>
      <property name="Tuin_en_landschapsarchitect" code="[Tuin_en_landschapsarchitect]" value="" link="Architecten">
        <property name="ID" code="[Tuin_en_landschapsarchitect.ID]" value=""/>
        <property name="Bedrijfsnaam" code="[Tuin_en_landschapsarchitect.Bedrijfsnaam]" value=""/>
        <property name="Bedrijfsvorm" code="[Tuin_en_landschapsarchitect.Bedrijfsvorm]" value=""/>
        <property name="Aanspreking" code="[Tuin_en_landschapsarchitect.Aanspreking]" value=""/>
        <property name="Naam" code="[Tuin_en_landschapsarchitect.Naam]" value=""/>
        <property name="Voornaam" code="[Tuin_en_landschapsarchitect.Voornaam]" value=""/>
        <property name="Adres" code="[Tuin_en_landschapsarchitect.Adres]" value=""/>
        <property name="Postcode" code="[Tuin_en_landschapsarchitect.Postcode]" value=""/>
        <property name="Gemeente" code="[Tuin_en_landschapsarchitect.Gemeente]" value=""/>
        <property name="Telefoon" code="[Tuin_en_landschapsarchitect.Telefoon]" value=""/>
        <property name="Email" code="[Tuin_en_landschapsarchitect.Email]" value="" func="@"/>
        <property name="GSM" code="[Tuin_en_landschapsarchitect.GSM]" value=""/>
        <property name="Fax" code="[Tuin_en_landschapsarchitect.Fax]" value=""/>
        <property name="Disciplines" code="[Tuin_en_landschapsarchitect.Disciplines]" value=""/>
        <property name="Ondernemingsnummer" code="[Tuin_en_landschapsarchitect.Ondernemingsnummer]" value=""/>
        <property name="MaatschappelijkeZetel" code="[Tuin_en_landschapsarchitect.MaatschappelijkeZetel]" value=""/>
        <property name="RPR" code="[Tuin_en_landschapsarchitect.RPR]" value=""/>
        <property name="OrdeProvincie" code="[Tuin_en_landschapsarchitect.OrdeProvincie]" value=""/>
      </property>
    </group>
    <property name="ProjectLeider" code="[ProjectLeider]" value="" link="Medewerkers">
      <property name="ID" code="[ProjectLeider.ID]" value=""/>
      <property name="Naam" code="[ProjectLeider.Naam]" value=""/>
      <property name="Voornaam" code="[ProjectLeider.Voornaam]" value=""/>
      <property name="Functie" code="[ProjectLeider.Functie]" value=""/>
      <property name="Email" code="[ProjectLeider.Email]" value="" func="@"/>
    </property>
    <group name="Aannemers">
      <property name="Aannemer_Grondwerken" code="[Aannemer_Grondwerken]" value="" link="Aannemers">
        <property name="ID" code="[Aannemer_Grondwerken.ID]" value=""/>
        <property name="Bedrijfsnaam" code="[Aannemer_Grondwerken.Bedrijfsnaam]" value=""/>
        <property name="Bedrijfsvorm" code="[Aannemer_Grondwerken.Bedrijfsvorm]" value=""/>
        <property name="Aanspreking" code="[Aannemer_Grondwerken.Aanspreking]" value=""/>
        <property name="Naam" code="[Aannemer_Grondwerken.Naam]" value=""/>
        <property name="Voornaam" code="[Aannemer_Grondwerken.Voornaam]" value=""/>
        <property name="Adres" code="[Aannemer_Grondwerken.Adres]" value=""/>
        <property name="Postcode" code="[Aannemer_Grondwerken.Postcode]" value=""/>
        <property name="Gemeente" code="[Aannemer_Grondwerken.Gemeente]" value=""/>
        <property name="Telefoon" code="[Aannemer_Grondwerken.Telefoon]" value=""/>
        <property name="Email" code="[Aannemer_Grondwerken.Email]" value="" func="@"/>
        <property name="GSM" code="[Aannemer_Grondwerken.GSM]" value=""/>
        <property name="Fax" code="[Aannemer_Grondwerken.Fax]" value=""/>
        <property name="Ondernemingsnummer" code="[Aannemer_Grondwerken.Ondernemingsnummer]" value=""/>
        <property name="MaatschappelijkeZetel" code="[Aannemer_Grondwerken.MaatschappelijkeZetel]" value=""/>
        <property name="Klasse" code="[Aannemer_Grondwerken.Klasse]" value=""/>
        <property name="Disciplines" code="[Aannemer_Grondwerken.Disciplines]" value=""/>
      </property>
      <property name="Aannemer_Ruwbouw" code="[Aannemer_Ruwbouw]" value="" link="Aannemers">
        <property name="ID" code="[Aannemer_Ruwbouw.ID]" value=""/>
        <property name="Bedrijfsnaam" code="[Aannemer_Ruwbouw.Bedrijfsnaam]" value=""/>
        <property name="Bedrijfsvorm" code="[Aannemer_Ruwbouw.Bedrijfsvorm]" value=""/>
        <property name="Aanspreking" code="[Aannemer_Ruwbouw.Aanspreking]" value=""/>
        <property name="Naam" code="[Aannemer_Ruwbouw.Naam]" value=""/>
        <property name="Voornaam" code="[Aannemer_Ruwbouw.Voornaam]" value=""/>
        <property name="Adres" code="[Aannemer_Ruwbouw.Adres]" value=""/>
        <property name="Postcode" code="[Aannemer_Ruwbouw.Postcode]" value=""/>
        <property name="Gemeente" code="[Aannemer_Ruwbouw.Gemeente]" value=""/>
        <property name="Telefoon" code="[Aannemer_Ruwbouw.Telefoon]" value=""/>
        <property name="Email" code="[Aannemer_Ruwbouw.Email]" value="" func="@"/>
        <property name="GSM" code="[Aannemer_Ruwbouw.GSM]" value=""/>
        <property name="Fax" code="[Aannemer_Ruwbouw.Fax]" value=""/>
        <property name="Ondernemingsnummer" code="[Aannemer_Ruwbouw.Ondernemingsnummer]" value=""/>
        <property name="MaatschappelijkeZetel" code="[Aannemer_Ruwbouw.MaatschappelijkeZetel]" value=""/>
        <property name="Klasse" code="[Aannemer_Ruwbouw.Klasse]" value=""/>
        <property name="Disciplines" code="[Aannemer_Ruwbouw.Disciplines]" value=""/>
      </property>
      <property name="Aannemer_Dakwerken" code="[Aannemer_Dakwerken]" value="" link="Aannemers">
        <property name="ID" code="[Aannemer_Dakwerken.ID]" value=""/>
        <property name="Bedrijfsnaam" code="[Aannemer_Dakwerken.Bedrijfsnaam]" value=""/>
        <property name="Bedrijfsvorm" code="[Aannemer_Dakwerken.Bedrijfsvorm]" value=""/>
        <property name="Aanspreking" code="[Aannemer_Dakwerken.Aanspreking]" value=""/>
        <property name="Naam" code="[Aannemer_Dakwerken.Naam]" value=""/>
        <property name="Voornaam" code="[Aannemer_Dakwerken.Voornaam]" value=""/>
        <property name="Adres" code="[Aannemer_Dakwerken.Adres]" value=""/>
        <property name="Postcode" code="[Aannemer_Dakwerken.Postcode]" value=""/>
        <property name="Gemeente" code="[Aannemer_Dakwerken.Gemeente]" value=""/>
        <property name="Telefoon" code="[Aannemer_Dakwerken.Telefoon]" value=""/>
        <property name="Email" code="[Aannemer_Dakwerken.Email]" value="" func="@"/>
        <property name="GSM" code="[Aannemer_Dakwerken.GSM]" value=""/>
        <property name="Fax" code="[Aannemer_Dakwerken.Fax]" value=""/>
        <property name="Ondernemingsnummer" code="[Aannemer_Dakwerken.Ondernemingsnummer]" value=""/>
        <property name="MaatschappelijkeZetel" code="[Aannemer_Dakwerken.MaatschappelijkeZetel]" value=""/>
        <property name="Klasse" code="[Aannemer_Dakwerken.Klasse]" value=""/>
        <property name="Disciplines" code="[Aannemer_Dakwerken.Disciplines]" value=""/>
      </property>
      <property name="Aannemer_Schrijnwerk" code="[Aannemer_Schrijnwerk]" value="" link="Aannemers">
        <property name="ID" code="[Aannemer_Schrijnwerk.ID]" value=""/>
        <property name="Bedrijfsnaam" code="[Aannemer_Schrijnwerk.Bedrijfsnaam]" value=""/>
        <property name="Bedrijfsvorm" code="[Aannemer_Schrijnwerk.Bedrijfsvorm]" value=""/>
        <property name="Aanspreking" code="[Aannemer_Schrijnwerk.Aanspreking]" value=""/>
        <property name="Naam" code="[Aannemer_Schrijnwerk.Naam]" value=""/>
        <property name="Voornaam" code="[Aannemer_Schrijnwerk.Voornaam]" value=""/>
        <property name="Adres" code="[Aannemer_Schrijnwerk.Adres]" value=""/>
        <property name="Postcode" code="[Aannemer_Schrijnwerk.Postcode]" value=""/>
        <property name="Gemeente" code="[Aannemer_Schrijnwerk.Gemeente]" value=""/>
        <property name="Telefoon" code="[Aannemer_Schrijnwerk.Telefoon]" value=""/>
        <property name="Email" code="[Aannemer_Schrijnwerk.Email]" value="" func="@"/>
        <property name="GSM" code="[Aannemer_Schrijnwerk.GSM]" value=""/>
        <property name="Fax" code="[Aannemer_Schrijnwerk.Fax]" value=""/>
        <property name="Ondernemingsnummer" code="[Aannemer_Schrijnwerk.Ondernemingsnummer]" value=""/>
        <property name="MaatschappelijkeZetel" code="[Aannemer_Schrijnwerk.MaatschappelijkeZetel]" value=""/>
        <property name="Klasse" code="[Aannemer_Schrijnwerk.Klasse]" value=""/>
        <property name="Disciplines" code="[Aannemer_Schrijnwerk.Disciplines]" value=""/>
      </property>
      <property name="Aannemer_Elektra" code="[Aannemer_Elektra]" value="" link="Aannemers">
        <property name="ID" code="[Aannemer_Elektra.ID]" value=""/>
        <property name="Bedrijfsnaam" code="[Aannemer_Elektra.Bedrijfsnaam]" value=""/>
        <property name="Bedrijfsvorm" code="[Aannemer_Elektra.Bedrijfsvorm]" value=""/>
        <property name="Aanspreking" code="[Aannemer_Elektra.Aanspreking]" value=""/>
        <property name="Naam" code="[Aannemer_Elektra.Naam]" value=""/>
        <property name="Voornaam" code="[Aannemer_Elektra.Voornaam]" value=""/>
        <property name="Adres" code="[Aannemer_Elektra.Adres]" value=""/>
        <property name="Postcode" code="[Aannemer_Elektra.Postcode]" value=""/>
        <property name="Gemeente" code="[Aannemer_Elektra.Gemeente]" value=""/>
        <property name="Telefoon" code="[Aannemer_Elektra.Telefoon]" value=""/>
        <property name="Email" code="[Aannemer_Elektra.Email]" value="" func="@"/>
        <property name="GSM" code="[Aannemer_Elektra.GSM]" value=""/>
        <property name="Fax" code="[Aannemer_Elektra.Fax]" value=""/>
        <property name="Ondernemingsnummer" code="[Aannemer_Elektra.Ondernemingsnummer]" value=""/>
        <property name="MaatschappelijkeZetel" code="[Aannemer_Elektra.MaatschappelijkeZetel]" value=""/>
        <property name="Klasse" code="[Aannemer_Elektra.Klasse]" value=""/>
        <property name="Disciplines" code="[Aannemer_Elektra.Disciplines]" value=""/>
      </property>
      <property name="Aannemer_Pleisterwerk" code="[Aannemer_Pleisterwerk]" value="" link="Aannemers">
        <property name="ID" code="[Aannemer_Pleisterwerk.ID]" value=""/>
        <property name="Bedrijfsnaam" code="[Aannemer_Pleisterwerk.Bedrijfsnaam]" value=""/>
        <property name="Bedrijfsvorm" code="[Aannemer_Pleisterwerk.Bedrijfsvorm]" value=""/>
        <property name="Aanspreking" code="[Aannemer_Pleisterwerk.Aanspreking]" value=""/>
        <property name="Naam" code="[Aannemer_Pleisterwerk.Naam]" value=""/>
        <property name="Voornaam" code="[Aannemer_Pleisterwerk.Voornaam]" value=""/>
        <property name="Adres" code="[Aannemer_Pleisterwerk.Adres]" value=""/>
        <property name="Postcode" code="[Aannemer_Pleisterwerk.Postcode]" value=""/>
        <property name="Gemeente" code="[Aannemer_Pleisterwerk.Gemeente]" value=""/>
        <property name="Telefoon" code="[Aannemer_Pleisterwerk.Telefoon]" value=""/>
        <property name="Email" code="[Aannemer_Pleisterwerk.Email]" value="" func="@"/>
        <property name="GSM" code="[Aannemer_Pleisterwerk.GSM]" value=""/>
        <property name="Fax" code="[Aannemer_Pleisterwerk.Fax]" value=""/>
        <property name="Ondernemingsnummer" code="[Aannemer_Pleisterwerk.Ondernemingsnummer]" value=""/>
        <property name="MaatschappelijkeZetel" code="[Aannemer_Pleisterwerk.MaatschappelijkeZetel]" value=""/>
        <property name="Klasse" code="[Aannemer_Pleisterwerk.Klasse]" value=""/>
        <property name="Disciplines" code="[Aannemer_Pleisterwerk.Disciplines]" value=""/>
      </property>
      <property name="Aannemer_Sanitair" code="[Aannemer_Sanitair]" value="" link="Aannemers">
        <property name="ID" code="[Aannemer_Sanitair.ID]" value=""/>
        <property name="Bedrijfsnaam" code="[Aannemer_Sanitair.Bedrijfsnaam]" value=""/>
        <property name="Bedrijfsvorm" code="[Aannemer_Sanitair.Bedrijfsvorm]" value=""/>
        <property name="Aanspreking" code="[Aannemer_Sanitair.Aanspreking]" value=""/>
        <property name="Naam" code="[Aannemer_Sanitair.Naam]" value=""/>
        <property name="Voornaam" code="[Aannemer_Sanitair.Voornaam]" value=""/>
        <property name="Adres" code="[Aannemer_Sanitair.Adres]" value=""/>
        <property name="Postcode" code="[Aannemer_Sanitair.Postcode]" value=""/>
        <property name="Gemeente" code="[Aannemer_Sanitair.Gemeente]" value=""/>
        <property name="Telefoon" code="[Aannemer_Sanitair.Telefoon]" value=""/>
        <property name="Email" code="[Aannemer_Sanitair.Email]" value="" func="@"/>
        <property name="GSM" code="[Aannemer_Sanitair.GSM]" value=""/>
        <property name="Fax" code="[Aannemer_Sanitair.Fax]" value=""/>
        <property name="Ondernemingsnummer" code="[Aannemer_Sanitair.Ondernemingsnummer]" value=""/>
        <property name="MaatschappelijkeZetel" code="[Aannemer_Sanitair.MaatschappelijkeZetel]" value=""/>
        <property name="Klasse" code="[Aannemer_Sanitair.Klasse]" value=""/>
        <property name="Disciplines" code="[Aannemer_Sanitair.Disciplines]" value=""/>
      </property>
      <property name="Aannemer_Vloeren" code="[Aannemer_Vloeren]" value="" link="Aannemers">
        <property name="ID" code="[Aannemer_Vloeren.ID]" value=""/>
        <property name="Bedrijfsnaam" code="[Aannemer_Vloeren.Bedrijfsnaam]" value=""/>
        <property name="Bedrijfsvorm" code="[Aannemer_Vloeren.Bedrijfsvorm]" value=""/>
        <property name="Aanspreking" code="[Aannemer_Vloeren.Aanspreking]" value=""/>
        <property name="Naam" code="[Aannemer_Vloeren.Naam]" value=""/>
        <property name="Voornaam" code="[Aannemer_Vloeren.Voornaam]" value=""/>
        <property name="Adres" code="[Aannemer_Vloeren.Adres]" value=""/>
        <property name="Postcode" code="[Aannemer_Vloeren.Postcode]" value=""/>
        <property name="Gemeente" code="[Aannemer_Vloeren.Gemeente]" value=""/>
        <property name="Telefoon" code="[Aannemer_Vloeren.Telefoon]" value=""/>
        <property name="Email" code="[Aannemer_Vloeren.Email]" value="" func="@"/>
        <property name="GSM" code="[Aannemer_Vloeren.GSM]" value=""/>
        <property name="Fax" code="[Aannemer_Vloeren.Fax]" value=""/>
        <property name="Ondernemingsnummer" code="[Aannemer_Vloeren.Ondernemingsnummer]" value=""/>
        <property name="MaatschappelijkeZetel" code="[Aannemer_Vloeren.MaatschappelijkeZetel]" value=""/>
        <property name="Klasse" code="[Aannemer_Vloeren.Klasse]" value=""/>
        <property name="Disciplines" code="[Aannemer_Vloeren.Disciplines]" value=""/>
      </property>
      <property name="Aannemer_Verwarming" code="[Aannemer_Verwarming]" value="" link="Aannemers">
        <property name="ID" code="[Aannemer_Verwarming.ID]" value=""/>
        <property name="Bedrijfsnaam" code="[Aannemer_Verwarming.Bedrijfsnaam]" value=""/>
        <property name="Bedrijfsvorm" code="[Aannemer_Verwarming.Bedrijfsvorm]" value=""/>
        <property name="Aanspreking" code="[Aannemer_Verwarming.Aanspreking]" value=""/>
        <property name="Naam" code="[Aannemer_Verwarming.Naam]" value=""/>
        <property name="Voornaam" code="[Aannemer_Verwarming.Voornaam]" value=""/>
        <property name="Adres" code="[Aannemer_Verwarming.Adres]" value=""/>
        <property name="Postcode" code="[Aannemer_Verwarming.Postcode]" value=""/>
        <property name="Gemeente" code="[Aannemer_Verwarming.Gemeente]" value=""/>
        <property name="Telefoon" code="[Aannemer_Verwarming.Telefoon]" value=""/>
        <property name="Email" code="[Aannemer_Verwarming.Email]" value="" func="@"/>
        <property name="GSM" code="[Aannemer_Verwarming.GSM]" value=""/>
        <property name="Fax" code="[Aannemer_Verwarming.Fax]" value=""/>
        <property name="Ondernemingsnummer" code="[Aannemer_Verwarming.Ondernemingsnummer]" value=""/>
        <property name="MaatschappelijkeZetel" code="[Aannemer_Verwarming.MaatschappelijkeZetel]" value=""/>
        <property name="Klasse" code="[Aannemer_Verwarming.Klasse]" value=""/>
        <property name="Disciplines" code="[Aannemer_Verwarming.Disciplines]" value=""/>
      </property>
      <property name="Aannemer_Schilderwerken" code="[Aannemer_Schilderwerken]" value="" link="Aannemers">
        <property name="ID" code="[Aannemer_Schilderwerken.ID]" value=""/>
        <property name="Bedrijfsnaam" code="[Aannemer_Schilderwerken.Bedrijfsnaam]" value=""/>
        <property name="Bedrijfsvorm" code="[Aannemer_Schilderwerken.Bedrijfsvorm]" value=""/>
        <property name="Aanspreking" code="[Aannemer_Schilderwerken.Aanspreking]" value=""/>
        <property name="Naam" code="[Aannemer_Schilderwerken.Naam]" value=""/>
        <property name="Voornaam" code="[Aannemer_Schilderwerken.Voornaam]" value=""/>
        <property name="Adres" code="[Aannemer_Schilderwerken.Adres]" value=""/>
        <property name="Postcode" code="[Aannemer_Schilderwerken.Postcode]" value=""/>
        <property name="Gemeente" code="[Aannemer_Schilderwerken.Gemeente]" value=""/>
        <property name="Telefoon" code="[Aannemer_Schilderwerken.Telefoon]" value=""/>
        <property name="Email" code="[Aannemer_Schilderwerken.Email]" value="" func="@"/>
        <property name="GSM" code="[Aannemer_Schilderwerken.GSM]" value=""/>
        <property name="Fax" code="[Aannemer_Schilderwerken.Fax]" value=""/>
        <property name="Ondernemingsnummer" code="[Aannemer_Schilderwerken.Ondernemingsnummer]" value=""/>
        <property name="MaatschappelijkeZetel" code="[Aannemer_Schilderwerken.MaatschappelijkeZetel]" value=""/>
        <property name="Klasse" code="[Aannemer_Schilderwerken.Klasse]" value=""/>
        <property name="Disciplines" code="[Aannemer_Schilderwerken.Disciplines]" value=""/>
      </property>
      <property name="Aannemer_Tuinaanleg" code="[Aannemer_Tuinaanleg]" value="" link="Aannemers">
        <property name="ID" code="[Aannemer_Tuinaanleg.ID]" value=""/>
        <property name="Bedrijfsnaam" code="[Aannemer_Tuinaanleg.Bedrijfsnaam]" value=""/>
        <property name="Bedrijfsvorm" code="[Aannemer_Tuinaanleg.Bedrijfsvorm]" value=""/>
        <property name="Aanspreking" code="[Aannemer_Tuinaanleg.Aanspreking]" value=""/>
        <property name="Naam" code="[Aannemer_Tuinaanleg.Naam]" value=""/>
        <property name="Voornaam" code="[Aannemer_Tuinaanleg.Voornaam]" value=""/>
        <property name="Adres" code="[Aannemer_Tuinaanleg.Adres]" value=""/>
        <property name="Postcode" code="[Aannemer_Tuinaanleg.Postcode]" value=""/>
        <property name="Gemeente" code="[Aannemer_Tuinaanleg.Gemeente]" value=""/>
        <property name="Telefoon" code="[Aannemer_Tuinaanleg.Telefoon]" value=""/>
        <property name="Email" code="[Aannemer_Tuinaanleg.Email]" value="" func="@"/>
        <property name="GSM" code="[Aannemer_Tuinaanleg.GSM]" value=""/>
        <property name="Fax" code="[Aannemer_Tuinaanleg.Fax]" value=""/>
        <property name="Ondernemingsnummer" code="[Aannemer_Tuinaanleg.Ondernemingsnummer]" value=""/>
        <property name="MaatschappelijkeZetel" code="[Aannemer_Tuinaanleg.MaatschappelijkeZetel]" value=""/>
        <property name="Klasse" code="[Aannemer_Tuinaanleg.Klasse]" value=""/>
        <property name="Disciplines" code="[Aannemer_Tuinaanleg.Disciplines]" value=""/>
      </property>
    </group>
    <group name="Ingenieurs">
      <property name="Ingenieur_Stabiliteit" code="[Ingenieur_Stabiliteit]" value="" link="Ingenieurs">
        <property name="ID" code="[Ingenieur_Stabiliteit.ID]" value=""/>
        <property name="Bedrijfsnaam" code="[Ingenieur_Stabiliteit.Bedrijfsnaam]" value=""/>
        <property name="Bedrijfsvorm" code="[Ingenieur_Stabiliteit.Bedrijfsvorm]" value=""/>
        <property name="Aanspreking" code="[Ingenieur_Stabiliteit.Aanspreking]" value=""/>
        <property name="Naam" code="[Ingenieur_Stabiliteit.Naam]" value=""/>
        <property name="Voornaam" code="[Ingenieur_Stabiliteit.Voornaam]" value=""/>
        <property name="Adres" code="[Ingenieur_Stabiliteit.Adres]" value=""/>
        <property name="Postcode" code="[Ingenieur_Stabiliteit.Postcode]" value=""/>
        <property name="Gemeente" code="[Ingenieur_Stabiliteit.Gemeente]" value=""/>
        <property name="Telefoon" code="[Ingenieur_Stabiliteit.Telefoon]" value=""/>
        <property name="Email" code="[Ingenieur_Stabiliteit.Email]" value="" func="@"/>
        <property name="GSM" code="[Ingenieur_Stabiliteit.GSM]" value=""/>
        <property name="Fax" code="[Ingenieur_Stabiliteit.Fax]" value=""/>
        <property name="Ondernemingsnummer" code="[Ingenieur_Stabiliteit.Ondernemingsnummer]" value=""/>
        <property name="MaatschappelijkeZetel" code="[Ingenieur_Stabiliteit.MaatschappelijkeZetel]" value=""/>
        <property name="Klasse" code="[Ingenieur_Stabiliteit.Klasse]" value=""/>
        <property name="Disciplines" code="[Ingenieur_Stabiliteit.Disciplines]" value=""/>
      </property>
      <property name="Ingenieur_Technieken" code="[Ingenieur_Technieken]" value="" link="Ingenieurs">
        <property name="ID" code="[Ingenieur_Technieken.ID]" value=""/>
        <property name="Bedrijfsnaam" code="[Ingenieur_Technieken.Bedrijfsnaam]" value=""/>
        <property name="Bedrijfsvorm" code="[Ingenieur_Technieken.Bedrijfsvorm]" value=""/>
        <property name="Aanspreking" code="[Ingenieur_Technieken.Aanspreking]" value=""/>
        <property name="Naam" code="[Ingenieur_Technieken.Naam]" value=""/>
        <property name="Voornaam" code="[Ingenieur_Technieken.Voornaam]" value=""/>
        <property name="Adres" code="[Ingenieur_Technieken.Adres]" value=""/>
        <property name="Postcode" code="[Ingenieur_Technieken.Postcode]" value=""/>
        <property name="Gemeente" code="[Ingenieur_Technieken.Gemeente]" value=""/>
        <property name="Telefoon" code="[Ingenieur_Technieken.Telefoon]" value=""/>
        <property name="Email" code="[Ingenieur_Technieken.Email]" value="" func="@"/>
        <property name="GSM" code="[Ingenieur_Technieken.GSM]" value=""/>
        <property name="Fax" code="[Ingenieur_Technieken.Fax]" value=""/>
        <property name="Ondernemingsnummer" code="[Ingenieur_Technieken.Ondernemingsnummer]" value=""/>
        <property name="MaatschappelijkeZetel" code="[Ingenieur_Technieken.MaatschappelijkeZetel]" value=""/>
        <property name="Klasse" code="[Ingenieur_Technieken.Klasse]" value=""/>
        <property name="Disciplines" code="[Ingenieur_Technieken.Disciplines]" value=""/>
      </property>
      <property name="Ingenieur_Akoestiek" code="[Ingenieur_Akoestiek]" value="" link="Ingenieurs">
        <property name="ID" code="[Ingenieur_Akoestiek.ID]" value=""/>
        <property name="Bedrijfsnaam" code="[Ingenieur_Akoestiek.Bedrijfsnaam]" value=""/>
        <property name="Bedrijfsvorm" code="[Ingenieur_Akoestiek.Bedrijfsvorm]" value=""/>
        <property name="Aanspreking" code="[Ingenieur_Akoestiek.Aanspreking]" value=""/>
        <property name="Naam" code="[Ingenieur_Akoestiek.Naam]" value=""/>
        <property name="Voornaam" code="[Ingenieur_Akoestiek.Voornaam]" value=""/>
        <property name="Adres" code="[Ingenieur_Akoestiek.Adres]" value=""/>
        <property name="Postcode" code="[Ingenieur_Akoestiek.Postcode]" value=""/>
        <property name="Gemeente" code="[Ingenieur_Akoestiek.Gemeente]" value=""/>
        <property name="Telefoon" code="[Ingenieur_Akoestiek.Telefoon]" value=""/>
        <property name="Email" code="[Ingenieur_Akoestiek.Email]" value="" func="@"/>
        <property name="GSM" code="[Ingenieur_Akoestiek.GSM]" value=""/>
        <property name="Fax" code="[Ingenieur_Akoestiek.Fax]" value=""/>
        <property name="Ondernemingsnummer" code="[Ingenieur_Akoestiek.Ondernemingsnummer]" value=""/>
        <property name="MaatschappelijkeZetel" code="[Ingenieur_Akoestiek.MaatschappelijkeZetel]" value=""/>
        <property name="Klasse" code="[Ingenieur_Akoestiek.Klasse]" value=""/>
        <property name="Disciplines" code="[Ingenieur_Akoestiek.Disciplines]" value=""/>
      </property>
    </group>
    <property name="Veiligheidscoördinatie" code="[Veiligheidscoördinatie]" value="" link="Veiligheidscoördinatie">
      <property name="ID" code="[Veiligheidscoördinatie.ID]" value=""/>
      <property name="Bedrijfsnaam" code="[Veiligheidscoördinatie.Bedrijfsnaam]" value=""/>
      <property name="Bedrijfsvorm" code="[Veiligheidscoördinatie.Bedrijfsvorm]" value=""/>
      <property name="Aanspreking" code="[Veiligheidscoördinatie.Aanspreking]" value=""/>
      <property name="Naam" code="[Veiligheidscoördinatie.Naam]" value=""/>
      <property name="Voornaam" code="[Veiligheidscoördinatie.Voornaam]" value=""/>
      <property name="Adres" code="[Veiligheidscoördinatie.Adres]" value=""/>
      <property name="Postcode" code="[Veiligheidscoördinatie.Postcode]" value=""/>
      <property name="Gemeente" code="[Veiligheidscoördinatie.Gemeente]" value=""/>
      <property name="Telefoon" code="[Veiligheidscoördinatie.Telefoon]" value=""/>
      <property name="Email" code="[Veiligheidscoördinatie.Email]" value="" func="@"/>
      <property name="GSM" code="[Veiligheidscoördinatie.GSM]" value=""/>
      <property name="Fax" code="[Veiligheidscoördinatie.Fax]" value=""/>
      <property name="Ondernemingsnummer" code="[Veiligheidscoördinatie.Ondernemingsnummer]" value=""/>
      <property name="MaatschappelijkeZetel" code="[Veiligheidscoördinatie.MaatschappelijkeZetel]" value=""/>
    </property>
    <property name="EPB" code="[EPB]" value="" link="EPB">
      <property name="ID" code="[EPB.ID]" value=""/>
      <property name="Bedrijfsnaam" code="[EPB.Bedrijfsnaam]" value=""/>
      <property name="Bedrijfsvorm" code="[EPB.Bedrijfsvorm]" value=""/>
      <property name="Aanspreking" code="[EPB.Aanspreking]" value=""/>
      <property name="Naam" code="[EPB.Naam]" value=""/>
      <property name="Voornaam" code="[EPB.Voornaam]" value=""/>
      <property name="Adres" code="[EPB.Adres]" value=""/>
      <property name="Postcode" code="[EPB.Postcode]" value=""/>
      <property name="Gemeente" code="[EPB.Gemeente]" value=""/>
      <property name="Telefoon" code="[EPB.Telefoon]" value=""/>
      <property name="Email" code="[EPB.Email]" value="" func="@"/>
      <property name="GSM" code="[EPB.GSM]" value=""/>
      <property name="Fax" code="[EPB.Fax]" value=""/>
      <property name="Ondernemingsnummer" code="[EPB.Ondernemingsnummer]" value=""/>
      <property name="MaatschappelijkeZetel" code="[EPB.MaatschappelijkeZetel]" value=""/>
    </property>
  </properties>
</datamerge>
</file>

<file path=customXml/itemProps1.xml><?xml version="1.0" encoding="utf-8"?>
<ds:datastoreItem xmlns:ds="http://schemas.openxmlformats.org/officeDocument/2006/customXml" ds:itemID="{1ACFD1AC-04D4-45CB-AB61-E39A16542871}">
  <ds:schemaRefs>
    <ds:schemaRef ds:uri="http://schemas.microsoft.com/office/2006/metadata/properties"/>
    <ds:schemaRef ds:uri="http://schemas.microsoft.com/office/infopath/2007/PartnerControls"/>
    <ds:schemaRef ds:uri="3447e10d-afba-460a-88bb-994e83ea9854"/>
  </ds:schemaRefs>
</ds:datastoreItem>
</file>

<file path=customXml/itemProps2.xml><?xml version="1.0" encoding="utf-8"?>
<ds:datastoreItem xmlns:ds="http://schemas.openxmlformats.org/officeDocument/2006/customXml" ds:itemID="{2E5FD2E4-1DDD-4A7B-B982-0BEC3DBAC5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8D77E4-0C3A-4CD6-94F3-C45AB1B7FF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47e10d-afba-460a-88bb-994e83ea9854"/>
    <ds:schemaRef ds:uri="4bf07be7-f9d3-4fd1-a239-b06f4cb76c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73B1C498-A918-4AA7-9704-7D0E60D068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116</vt:i4>
      </vt:variant>
    </vt:vector>
  </HeadingPairs>
  <TitlesOfParts>
    <vt:vector size="118" baseType="lpstr">
      <vt:lpstr>Detail</vt:lpstr>
      <vt:lpstr>Samenvatting MS</vt:lpstr>
      <vt:lpstr>'Samenvatting MS'!_C3A_Bouwheer.BouwheerNaam</vt:lpstr>
      <vt:lpstr>Detail!_C3A_Dossiernaam</vt:lpstr>
      <vt:lpstr>'Samenvatting MS'!_C3A_Dossiernaam</vt:lpstr>
      <vt:lpstr>Detail!_C3A_Dossiernummer</vt:lpstr>
      <vt:lpstr>'Samenvatting MS'!_C3A_Dossiernummer</vt:lpstr>
      <vt:lpstr>'Samenvatting MS'!Afdrukbereik</vt:lpstr>
      <vt:lpstr>'Samenvatting MS'!Afdruktitels</vt:lpstr>
      <vt:lpstr>Art_01.</vt:lpstr>
      <vt:lpstr>Art_01.00.</vt:lpstr>
      <vt:lpstr>Art_01.01.</vt:lpstr>
      <vt:lpstr>Art_01.02.</vt:lpstr>
      <vt:lpstr>Art_01.03.</vt:lpstr>
      <vt:lpstr>Art_01.04.</vt:lpstr>
      <vt:lpstr>Art_01.05.</vt:lpstr>
      <vt:lpstr>Art_01.06.</vt:lpstr>
      <vt:lpstr>Art_01.08.</vt:lpstr>
      <vt:lpstr>Art_01.20.</vt:lpstr>
      <vt:lpstr>Art_01.21.</vt:lpstr>
      <vt:lpstr>Art_01.22.</vt:lpstr>
      <vt:lpstr>Art_01.23.</vt:lpstr>
      <vt:lpstr>Art_01.25.</vt:lpstr>
      <vt:lpstr>Art_01.30.</vt:lpstr>
      <vt:lpstr>Art_01.31.</vt:lpstr>
      <vt:lpstr>Art_01.32.</vt:lpstr>
      <vt:lpstr>Art_01.33.</vt:lpstr>
      <vt:lpstr>Art_01.40.</vt:lpstr>
      <vt:lpstr>Art_02.</vt:lpstr>
      <vt:lpstr>Art_02.00.</vt:lpstr>
      <vt:lpstr>Art_02.10.</vt:lpstr>
      <vt:lpstr>Art_02.11.</vt:lpstr>
      <vt:lpstr>Art_02.12.</vt:lpstr>
      <vt:lpstr>Art_02.12.10.</vt:lpstr>
      <vt:lpstr>Art_02.12.20.</vt:lpstr>
      <vt:lpstr>Art_02.80.</vt:lpstr>
      <vt:lpstr>Art_02.81.</vt:lpstr>
      <vt:lpstr>Art_02.81.10.</vt:lpstr>
      <vt:lpstr>Art_02.82.</vt:lpstr>
      <vt:lpstr>Art_03.</vt:lpstr>
      <vt:lpstr>Art_03.00.</vt:lpstr>
      <vt:lpstr>Art_03.20.</vt:lpstr>
      <vt:lpstr>Art_03.40.</vt:lpstr>
      <vt:lpstr>Art_03.44.</vt:lpstr>
      <vt:lpstr>Art_03.44.20.</vt:lpstr>
      <vt:lpstr>Art_04.</vt:lpstr>
      <vt:lpstr>Art_04.00.</vt:lpstr>
      <vt:lpstr>Art_04.10.</vt:lpstr>
      <vt:lpstr>Art_04.20.</vt:lpstr>
      <vt:lpstr>Art_04.30.</vt:lpstr>
      <vt:lpstr>Art_04.40.</vt:lpstr>
      <vt:lpstr>Art_40.</vt:lpstr>
      <vt:lpstr>Art_40.00.</vt:lpstr>
      <vt:lpstr>Art_40.01.</vt:lpstr>
      <vt:lpstr>Art_40.02.</vt:lpstr>
      <vt:lpstr>Art_40.02.10.</vt:lpstr>
      <vt:lpstr>Art_40.03.</vt:lpstr>
      <vt:lpstr>Art_40.03.10.</vt:lpstr>
      <vt:lpstr>Art_40.04.</vt:lpstr>
      <vt:lpstr>Art_40.10.</vt:lpstr>
      <vt:lpstr>Art_40.12.</vt:lpstr>
      <vt:lpstr>Art_40.12.01.</vt:lpstr>
      <vt:lpstr>Art_40.12.02.</vt:lpstr>
      <vt:lpstr>Art_40.12.03.</vt:lpstr>
      <vt:lpstr>Art_40.12.04.</vt:lpstr>
      <vt:lpstr>Art_40.12.05.</vt:lpstr>
      <vt:lpstr>Art_40.12.07.</vt:lpstr>
      <vt:lpstr>Art_40.12.08.</vt:lpstr>
      <vt:lpstr>Art_40.12.10</vt:lpstr>
      <vt:lpstr>Art_40.12.10.1</vt:lpstr>
      <vt:lpstr>Art_40.12.10.2</vt:lpstr>
      <vt:lpstr>Art_40.12.10.3</vt:lpstr>
      <vt:lpstr>Art_40.12.20</vt:lpstr>
      <vt:lpstr>Art_40.12.20.</vt:lpstr>
      <vt:lpstr>Art_40.12.20.1</vt:lpstr>
      <vt:lpstr>Art_40.12.20.2</vt:lpstr>
      <vt:lpstr>Art_40.12.20.3</vt:lpstr>
      <vt:lpstr>Art_40.12.20.4</vt:lpstr>
      <vt:lpstr>Art_40.12.20.5</vt:lpstr>
      <vt:lpstr>Art_40.12.30.</vt:lpstr>
      <vt:lpstr>Art_40.12.40</vt:lpstr>
      <vt:lpstr>Art_40.12.40.</vt:lpstr>
      <vt:lpstr>Art_40.12.40.1</vt:lpstr>
      <vt:lpstr>Art_40.12.40.2</vt:lpstr>
      <vt:lpstr>Art_40.12.40.3</vt:lpstr>
      <vt:lpstr>Art_40.12.40.4</vt:lpstr>
      <vt:lpstr>Art_40.12.40.5</vt:lpstr>
      <vt:lpstr>Art_40.12.40.6</vt:lpstr>
      <vt:lpstr>Art_40.20.</vt:lpstr>
      <vt:lpstr>Art_40.21.</vt:lpstr>
      <vt:lpstr>Art_40.22.</vt:lpstr>
      <vt:lpstr>Art_40.23.</vt:lpstr>
      <vt:lpstr>Art_40.23.10.</vt:lpstr>
      <vt:lpstr>Art_40.24.</vt:lpstr>
      <vt:lpstr>Art_40.24.10.</vt:lpstr>
      <vt:lpstr>Art_40.25.</vt:lpstr>
      <vt:lpstr>Art_40.26.</vt:lpstr>
      <vt:lpstr>Art_40.27.</vt:lpstr>
      <vt:lpstr>Art_40.29.</vt:lpstr>
      <vt:lpstr>Art_40.30.</vt:lpstr>
      <vt:lpstr>Art_40.32.</vt:lpstr>
      <vt:lpstr>Art_40.32.10</vt:lpstr>
      <vt:lpstr>Art_40.40</vt:lpstr>
      <vt:lpstr>Art_40.40.10.</vt:lpstr>
      <vt:lpstr>Art_40.42.</vt:lpstr>
      <vt:lpstr>Art_40.42.10</vt:lpstr>
      <vt:lpstr>Art_40.43.</vt:lpstr>
      <vt:lpstr>Art_40.60.</vt:lpstr>
      <vt:lpstr>Art_40.60.01</vt:lpstr>
      <vt:lpstr>Art_40.60.02</vt:lpstr>
      <vt:lpstr>Art_40.61</vt:lpstr>
      <vt:lpstr>auteur</vt:lpstr>
      <vt:lpstr>'Samenvatting MS'!first_cell</vt:lpstr>
      <vt:lpstr>inhoud</vt:lpstr>
      <vt:lpstr>meetstaat</vt:lpstr>
      <vt:lpstr>'Samenvatting MS'!Section</vt:lpstr>
      <vt:lpstr>'Samenvatting MS'!TotalLine</vt:lpstr>
      <vt:lpstr>uitgave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C3Admin Tools</dc:title>
  <dc:subject>Bill of Quantities Detail Template</dc:subject>
  <dc:creator>Manon Schramme</dc:creator>
  <cp:lastModifiedBy>Nicole Drieghe</cp:lastModifiedBy>
  <cp:revision>1</cp:revision>
  <cp:lastPrinted>2022-03-21T17:00:10Z</cp:lastPrinted>
  <dcterms:created xsi:type="dcterms:W3CDTF">1995-09-27T18:13:23Z</dcterms:created>
  <dcterms:modified xsi:type="dcterms:W3CDTF">2023-04-13T12:08:59Z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0x0101008CCCA3C1CBACE648895EAFAC592DECCA</vt:lpwstr>
  </property>
</Properties>
</file>