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\\srvfile2101\3P\Server\Documents\Contracts\2023\303\"/>
    </mc:Choice>
  </mc:AlternateContent>
  <xr:revisionPtr revIDLastSave="0" documentId="13_ncr:1_{E0F09AA5-A492-4E08-BC57-51BCA02888B7}" xr6:coauthVersionLast="47" xr6:coauthVersionMax="47" xr10:uidLastSave="{00000000-0000-0000-0000-000000000000}"/>
  <bookViews>
    <workbookView xWindow="29610" yWindow="-15" windowWidth="28110" windowHeight="16440" xr2:uid="{00000000-000D-0000-FFFF-FFFF00000000}"/>
  </bookViews>
  <sheets>
    <sheet name="Detail Verwarm San Vent" sheetId="12" r:id="rId1"/>
    <sheet name="Samenvatting Verwarm San Vent" sheetId="13" r:id="rId2"/>
  </sheets>
  <externalReferences>
    <externalReference r:id="rId3"/>
  </externalReferences>
  <definedNames>
    <definedName name="_xlnm.Print_Area" localSheetId="1">'Samenvatting Verwarm San Vent'!$A$1:$AA$34</definedName>
    <definedName name="_xlnm.Print_Titles" localSheetId="1">'Samenvatting Verwarm San Vent'!$1:$1</definedName>
    <definedName name="Art_00." localSheetId="0">'Detail Verwarm San Vent'!$A$10:$I$10</definedName>
    <definedName name="Art_00.">#REF!</definedName>
    <definedName name="Art_00.10." localSheetId="0">'Detail Verwarm San Vent'!$A$13:$I$13</definedName>
    <definedName name="Art_00.10.">#REF!</definedName>
    <definedName name="Art_00.20." localSheetId="0">'Detail Verwarm San Vent'!$A$16:$I$16</definedName>
    <definedName name="Art_00.20.">#REF!</definedName>
    <definedName name="Art_00.21." localSheetId="0">'Detail Verwarm San Vent'!$A$19:$I$19</definedName>
    <definedName name="Art_00.21.">#REF!</definedName>
    <definedName name="Art_00.24." localSheetId="0">'Detail Verwarm San Vent'!$A$22:$I$22</definedName>
    <definedName name="Art_00.24.">#REF!</definedName>
    <definedName name="Art_00.25." localSheetId="0">'Detail Verwarm San Vent'!$A$25:$I$25</definedName>
    <definedName name="Art_00.25.">#REF!</definedName>
    <definedName name="Art_00.30." localSheetId="0">'Detail Verwarm San Vent'!$A$28:$I$28</definedName>
    <definedName name="Art_00.30.">#REF!</definedName>
    <definedName name="Art_00.31." localSheetId="0">'Detail Verwarm San Vent'!$A$31:$I$31</definedName>
    <definedName name="Art_00.31.">#REF!</definedName>
    <definedName name="Art_00.32." localSheetId="0">'Detail Verwarm San Vent'!$A$34:$I$34</definedName>
    <definedName name="Art_00.32.">#REF!</definedName>
    <definedName name="Art_00.33." localSheetId="0">'Detail Verwarm San Vent'!$A$37:$I$37</definedName>
    <definedName name="Art_00.33.">#REF!</definedName>
    <definedName name="Art_00.34." localSheetId="0">'Detail Verwarm San Vent'!$A$40:$I$40</definedName>
    <definedName name="Art_00.34.">#REF!</definedName>
    <definedName name="Art_00.35." localSheetId="0">'Detail Verwarm San Vent'!$A$43:$I$43</definedName>
    <definedName name="Art_00.35.">#REF!</definedName>
    <definedName name="Art_01." localSheetId="0">'Detail Verwarm San Vent'!$A$46:$I$46</definedName>
    <definedName name="Art_01.">#REF!</definedName>
    <definedName name="Art_01.00." localSheetId="0">'Detail Verwarm San Vent'!$A$49:$I$49</definedName>
    <definedName name="Art_01.00.">#REF!</definedName>
    <definedName name="Art_01.01." localSheetId="0">'Detail Verwarm San Vent'!$A$52:$I$53</definedName>
    <definedName name="Art_01.01.">#REF!</definedName>
    <definedName name="Art_01.02." localSheetId="0">'Detail Verwarm San Vent'!$A$56:$I$57</definedName>
    <definedName name="Art_01.02.">#REF!</definedName>
    <definedName name="Art_01.03." localSheetId="0">'Detail Verwarm San Vent'!$A$60:$I$61</definedName>
    <definedName name="Art_01.03.">#REF!</definedName>
    <definedName name="Art_01.04." localSheetId="0">'Detail Verwarm San Vent'!$A$64:$I$65</definedName>
    <definedName name="Art_01.04.">#REF!</definedName>
    <definedName name="Art_01.05." localSheetId="0">'Detail Verwarm San Vent'!$A$68:$I$69</definedName>
    <definedName name="Art_01.05.">#REF!</definedName>
    <definedName name="Art_01.06." localSheetId="0">'Detail Verwarm San Vent'!$A$72:$I$73</definedName>
    <definedName name="Art_01.06.">#REF!</definedName>
    <definedName name="Art_01.07." localSheetId="0">'Detail Verwarm San Vent'!$A$76:$I$77</definedName>
    <definedName name="Art_01.07.">#REF!</definedName>
    <definedName name="Art_01.08." localSheetId="0">'Detail Verwarm San Vent'!$A$80:$I$81</definedName>
    <definedName name="Art_01.08.">#REF!</definedName>
    <definedName name="Art_01.20." localSheetId="0">'Detail Verwarm San Vent'!$A$84:$I$84</definedName>
    <definedName name="Art_01.20.">#REF!</definedName>
    <definedName name="Art_01.21." localSheetId="0">'Detail Verwarm San Vent'!$A$87:$I$88</definedName>
    <definedName name="Art_01.21.">#REF!</definedName>
    <definedName name="Art_01.23." localSheetId="0">'Detail Verwarm San Vent'!$A$91:$I$92</definedName>
    <definedName name="Art_01.23.">#REF!</definedName>
    <definedName name="Art_01.25." localSheetId="0">'Detail Verwarm San Vent'!$A$95:$I$96</definedName>
    <definedName name="Art_01.25.">#REF!</definedName>
    <definedName name="Art_01.30." localSheetId="0">'Detail Verwarm San Vent'!$A$99:$I$99</definedName>
    <definedName name="Art_01.30.">#REF!</definedName>
    <definedName name="Art_01.31." localSheetId="0">'Detail Verwarm San Vent'!$A$102:$I$103</definedName>
    <definedName name="Art_01.31.">#REF!</definedName>
    <definedName name="Art_01.32." localSheetId="0">'Detail Verwarm San Vent'!$A$106:$I$107</definedName>
    <definedName name="Art_01.32.">#REF!</definedName>
    <definedName name="Art_01.33." localSheetId="0">'Detail Verwarm San Vent'!$A$110:$I$111</definedName>
    <definedName name="Art_01.33.">#REF!</definedName>
    <definedName name="Art_01.40." localSheetId="0">'Detail Verwarm San Vent'!$A$114:$I$115</definedName>
    <definedName name="Art_01.40.">#REF!</definedName>
    <definedName name="Art_02." localSheetId="0">'Detail Verwarm San Vent'!$A$118:$I$118</definedName>
    <definedName name="Art_02.">#REF!</definedName>
    <definedName name="Art_02.00." localSheetId="0">'Detail Verwarm San Vent'!$A$121:$I$121</definedName>
    <definedName name="Art_02.00.">#REF!</definedName>
    <definedName name="Art_02.80." localSheetId="0">'Detail Verwarm San Vent'!$A$124:$I$124</definedName>
    <definedName name="Art_02.80.">#REF!</definedName>
    <definedName name="Art_02.81." localSheetId="0">'Detail Verwarm San Vent'!$A$127:$I$127</definedName>
    <definedName name="Art_02.81.">#REF!</definedName>
    <definedName name="Art_02.81.10." localSheetId="0">'Detail Verwarm San Vent'!$A$130:$I$131</definedName>
    <definedName name="Art_02.81.10.">#REF!</definedName>
    <definedName name="Art_04." localSheetId="0">'Detail Verwarm San Vent'!$A$134:$I$134</definedName>
    <definedName name="Art_04.">#REF!</definedName>
    <definedName name="Art_04.00." localSheetId="0">'Detail Verwarm San Vent'!$A$137:$I$137</definedName>
    <definedName name="Art_04.00.">#REF!</definedName>
    <definedName name="Art_04.10." localSheetId="0">'Detail Verwarm San Vent'!$A$140:$I$141</definedName>
    <definedName name="Art_04.10.">#REF!</definedName>
    <definedName name="Art_04.40." localSheetId="0">'Detail Verwarm San Vent'!$A$144:$I$145</definedName>
    <definedName name="Art_04.40.">#REF!</definedName>
    <definedName name="Art_60." localSheetId="0">'Detail Verwarm San Vent'!$A$148:$I$148</definedName>
    <definedName name="Art_60.00." localSheetId="0">'Detail Verwarm San Vent'!$A$151:$I$151</definedName>
    <definedName name="Art_60.10." localSheetId="0">'Detail Verwarm San Vent'!$A$154:$I$154</definedName>
    <definedName name="Art_60.12." localSheetId="0">'Detail Verwarm San Vent'!$A$157:$I$157</definedName>
    <definedName name="Art_60.12.01." localSheetId="0">'Detail Verwarm San Vent'!$A$160:$I$166</definedName>
    <definedName name="Art_60.12.02." localSheetId="0">'Detail Verwarm San Vent'!$A$169:$I$176</definedName>
    <definedName name="Art_60.12.03." localSheetId="0">'Detail Verwarm San Vent'!$A$179:$I$186</definedName>
    <definedName name="Art_60.12.04." localSheetId="0">'Detail Verwarm San Vent'!$A$189:$I$196</definedName>
    <definedName name="Art_60.12.05." localSheetId="0">'Detail Verwarm San Vent'!$A$199:$I$205</definedName>
    <definedName name="Art_60.20." localSheetId="0">'Detail Verwarm San Vent'!$A$208:$I$208</definedName>
    <definedName name="Art_60.21.11." localSheetId="0">'Detail Verwarm San Vent'!#REF!</definedName>
    <definedName name="Art_60.21.12." localSheetId="0">'Detail Verwarm San Vent'!#REF!</definedName>
    <definedName name="Art_60.22." localSheetId="0">'Detail Verwarm San Vent'!$A$211:$I$212</definedName>
    <definedName name="Art_60.30." localSheetId="0">'Detail Verwarm San Vent'!$A$215:$I$215</definedName>
    <definedName name="Art_60.33." localSheetId="0">'Detail Verwarm San Vent'!$A$218:$I$225</definedName>
    <definedName name="Art_60.50." localSheetId="0">'Detail Verwarm San Vent'!$A$228:$I$228</definedName>
    <definedName name="Art_60.51." localSheetId="0">'Detail Verwarm San Vent'!$A$231:$I$231</definedName>
    <definedName name="Art_60.51.30." localSheetId="0">'Detail Verwarm San Vent'!$A$234:$I$234</definedName>
    <definedName name="Art_60.51.31." localSheetId="0">'Detail Verwarm San Vent'!$A$237:$I$266</definedName>
    <definedName name="Art_60.51.34." localSheetId="0">'Detail Verwarm San Vent'!$A$269:$I$282</definedName>
    <definedName name="Art_60.52." localSheetId="0">'Detail Verwarm San Vent'!$A$285:$I$292</definedName>
    <definedName name="Art_60.53." localSheetId="0">'Detail Verwarm San Vent'!$A$295:$I$302</definedName>
    <definedName name="Art_60.60." localSheetId="0">'Detail Verwarm San Vent'!$A$305:$I$305</definedName>
    <definedName name="Art_60.61." localSheetId="0">'Detail Verwarm San Vent'!$A$308:$I$314</definedName>
    <definedName name="Art_60.62." localSheetId="0">'Detail Verwarm San Vent'!$A$317:$I$323</definedName>
    <definedName name="Art_60.63." localSheetId="0">'Detail Verwarm San Vent'!$A$326:$I$332</definedName>
    <definedName name="Art_61." localSheetId="0">'Detail Verwarm San Vent'!$A$335:$I$335</definedName>
    <definedName name="Art_61.00." localSheetId="0">'Detail Verwarm San Vent'!$A$338:$I$338</definedName>
    <definedName name="Art_61.10." localSheetId="0">'Detail Verwarm San Vent'!$A$341:$I$341</definedName>
    <definedName name="Art_61.12." localSheetId="0">'Detail Verwarm San Vent'!$A$344:$I$344</definedName>
    <definedName name="Art_61.12.01." localSheetId="0">'Detail Verwarm San Vent'!$A$347:$I$354</definedName>
    <definedName name="Art_61.12.02." localSheetId="0">'Detail Verwarm San Vent'!$A$357:$I$364</definedName>
    <definedName name="Art_61.12.03." localSheetId="0">'Detail Verwarm San Vent'!$A$367:$I$368</definedName>
    <definedName name="Art_61.12.04.">'Detail Verwarm San Vent'!$A$371:$I$372</definedName>
    <definedName name="Art_61.20." localSheetId="0">'Detail Verwarm San Vent'!$A$375:$I$375</definedName>
    <definedName name="Art_61.21." localSheetId="0">'Detail Verwarm San Vent'!$A$378:$I$378</definedName>
    <definedName name="Art_61.21.10." localSheetId="0">'Detail Verwarm San Vent'!#REF!</definedName>
    <definedName name="Art_61.21.11." localSheetId="0">'Detail Verwarm San Vent'!$A$381:$I$387</definedName>
    <definedName name="Art_61.21.12." localSheetId="0">'Detail Verwarm San Vent'!#REF!</definedName>
    <definedName name="Art_61.21.13.">'Detail Verwarm San Vent'!#REF!</definedName>
    <definedName name="Art_61.30." localSheetId="0">'Detail Verwarm San Vent'!$A$390:$I$390</definedName>
    <definedName name="Art_61.32." localSheetId="0">'Detail Verwarm San Vent'!$A$393:$I$401</definedName>
    <definedName name="Art_61.60." localSheetId="0">'Detail Verwarm San Vent'!$A$404:$I$404</definedName>
    <definedName name="Art_61.63." localSheetId="0">'Detail Verwarm San Vent'!$A$407:$I$407</definedName>
    <definedName name="Art_61.63.01." localSheetId="0">'Detail Verwarm San Vent'!$A$410:$I$416</definedName>
    <definedName name="Art_61.63.02." localSheetId="0">'Detail Verwarm San Vent'!$A$419:$I$425</definedName>
    <definedName name="Art_61.70." localSheetId="0">'Detail Verwarm San Vent'!$A$428:$I$428</definedName>
    <definedName name="Art_61.72." localSheetId="0">'Detail Verwarm San Vent'!$A$431:$I$431</definedName>
    <definedName name="Art_61.72.10." localSheetId="0">'Detail Verwarm San Vent'!$A$434:$I$440</definedName>
    <definedName name="Art_61.72.11.">'Detail Verwarm San Vent'!$A$443:$I$449</definedName>
    <definedName name="Art_61.80." localSheetId="0">'Detail Verwarm San Vent'!$A$452:$I$452</definedName>
    <definedName name="Art_61.81." localSheetId="0">'Detail Verwarm San Vent'!$A$455:$I$461</definedName>
    <definedName name="Art_62." localSheetId="0">'Detail Verwarm San Vent'!$A$464:$I$464</definedName>
    <definedName name="Art_62.00." localSheetId="0">'Detail Verwarm San Vent'!$A$467:$I$467</definedName>
    <definedName name="Art_62.10." localSheetId="0">'Detail Verwarm San Vent'!$A$470:$I$470</definedName>
    <definedName name="Art_62.11." localSheetId="0">'Detail Verwarm San Vent'!$A$473:$I$474</definedName>
    <definedName name="Art_62.20." localSheetId="0">'Detail Verwarm San Vent'!$A$477:$I$477</definedName>
    <definedName name="Art_62.21." localSheetId="0">'Detail Verwarm San Vent'!$A$480:$I$480</definedName>
    <definedName name="Art_62.21.10." localSheetId="0">'Detail Verwarm San Vent'!$A$483:$I$484</definedName>
    <definedName name="Art_62.30." localSheetId="0">'Detail Verwarm San Vent'!$A$487:$I$487</definedName>
    <definedName name="Art_62.31." localSheetId="0">'Detail Verwarm San Vent'!$A$490:$I$491</definedName>
    <definedName name="Art_62.32." localSheetId="0">'Detail Verwarm San Vent'!$A$494:$I$495</definedName>
    <definedName name="Art_62.40." localSheetId="0">'Detail Verwarm San Vent'!$A$498:$I$498</definedName>
    <definedName name="Art_62.42." localSheetId="0">'Detail Verwarm San Vent'!$A$501:$I$501</definedName>
    <definedName name="Art_62.42.20." localSheetId="0">'Detail Verwarm San Vent'!$A$504:$I$511</definedName>
    <definedName name="Art_62.50." localSheetId="0">'Detail Verwarm San Vent'!$A$514:$I$514</definedName>
    <definedName name="Art_62.51." localSheetId="0">'Detail Verwarm San Vent'!$A$517:$I$525</definedName>
    <definedName name="Art_62.52." localSheetId="0">'Detail Verwarm San Vent'!$A$528:$I$534</definedName>
    <definedName name="Art_62.53." localSheetId="0">'Detail Verwarm San Vent'!$A$537:$I$544</definedName>
    <definedName name="Art_62.60." localSheetId="0">'Detail Verwarm San Vent'!$A$547:$I$547</definedName>
    <definedName name="Art_62.62." localSheetId="0">'Detail Verwarm San Vent'!$A$550:$I$556</definedName>
    <definedName name="Art_62.62.10." localSheetId="0">'Detail Verwarm San Vent'!$A$562:$I$568</definedName>
    <definedName name="Art_62.63." localSheetId="0">'Detail Verwarm San Vent'!$A$559:$I$559</definedName>
    <definedName name="Art_62.63.10." localSheetId="0">'Detail Verwarm San Vent'!$A$562:$I$568</definedName>
    <definedName name="Art_62.70." localSheetId="0">'Detail Verwarm San Vent'!$A$571:$I$571</definedName>
    <definedName name="Art_62.71." localSheetId="0">'Detail Verwarm San Vent'!$A$574:$I$580</definedName>
    <definedName name="Art_64." localSheetId="0">'Detail Verwarm San Vent'!$A$583:$I$583</definedName>
    <definedName name="Art_64.00." localSheetId="0">'Detail Verwarm San Vent'!$A$586:$I$586</definedName>
    <definedName name="Art_64.10." localSheetId="0">'Detail Verwarm San Vent'!$A$589:$I$589</definedName>
    <definedName name="Art_64.11." localSheetId="0">'Detail Verwarm San Vent'!$A$592:$I$599</definedName>
    <definedName name="Art_64.13." localSheetId="0">'Detail Verwarm San Vent'!$A$602:$I$609</definedName>
    <definedName name="Art_64.20." localSheetId="0">'Detail Verwarm San Vent'!$A$612:$I$612</definedName>
    <definedName name="Art_64.21." localSheetId="0">'Detail Verwarm San Vent'!$A$615:$I$616</definedName>
    <definedName name="Art_64.22." localSheetId="0">'Detail Verwarm San Vent'!$A$619:$I$620</definedName>
    <definedName name="Art_64.40." localSheetId="0">'Detail Verwarm San Vent'!$A$623:$I$624</definedName>
    <definedName name="Art_65." localSheetId="0">'Detail Verwarm San Vent'!$A$627:$I$627</definedName>
    <definedName name="Art_65.00." localSheetId="0">'Detail Verwarm San Vent'!$A$630:$I$630</definedName>
    <definedName name="Art_65.02." localSheetId="0">'Detail Verwarm San Vent'!$A$633:$I$634</definedName>
    <definedName name="Art_65.20." localSheetId="0">'Detail Verwarm San Vent'!$A$637:$I$637</definedName>
    <definedName name="Art_65.21." localSheetId="0">'Detail Verwarm San Vent'!$A$640:$I$640</definedName>
    <definedName name="Art_65.21.20." localSheetId="0">'Detail Verwarm San Vent'!$A$643:$I$650</definedName>
    <definedName name="Art_65.30." localSheetId="0">'Detail Verwarm San Vent'!$A$653:$I$653</definedName>
    <definedName name="Art_65.31." localSheetId="0">'Detail Verwarm San Vent'!$A$656:$I$656</definedName>
    <definedName name="Art_65.31.30." localSheetId="0">'Detail Verwarm San Vent'!$A$659:$I$679</definedName>
    <definedName name="Art_65.32." localSheetId="0">'Detail Verwarm San Vent'!$A$682:$I$688</definedName>
    <definedName name="Art_65.33." localSheetId="0">'Detail Verwarm San Vent'!$A$691:$I$697</definedName>
    <definedName name="Art_65.34." localSheetId="0">'Detail Verwarm San Vent'!$A$700:$I$701</definedName>
    <definedName name="Art_65.40." localSheetId="0">'Detail Verwarm San Vent'!$A$704:$I$704</definedName>
    <definedName name="Art_65.41." localSheetId="0">'Detail Verwarm San Vent'!$A$707:$I$714</definedName>
    <definedName name="Art_65.42." localSheetId="0">'Detail Verwarm San Vent'!$A$717:$I$724</definedName>
    <definedName name="Art_65.43." localSheetId="0">'Detail Verwarm San Vent'!$A$727:$I$733</definedName>
    <definedName name="Art_65.44." localSheetId="0">'Detail Verwarm San Vent'!$A$736:$I$743</definedName>
    <definedName name="Art_65.45." localSheetId="0">'Detail Verwarm San Vent'!$A$746:$I$753</definedName>
    <definedName name="Art_65.46." localSheetId="0">'Detail Verwarm San Vent'!$A$756:$I$763</definedName>
    <definedName name="Art_65.47." localSheetId="0">'Detail Verwarm San Vent'!$A$766:$I$773</definedName>
    <definedName name="Art_65.50." localSheetId="0">'Detail Verwarm San Vent'!$A$776:$I$776</definedName>
    <definedName name="Art_65.52." localSheetId="0">'Detail Verwarm San Vent'!$A$779:$I$779</definedName>
    <definedName name="Art_65.52.01." localSheetId="0">'Detail Verwarm San Vent'!$A$782:$I$787</definedName>
    <definedName name="Art_65.52.02." localSheetId="0">'Detail Verwarm San Vent'!$A$790:$I$797</definedName>
    <definedName name="Art_65.60." localSheetId="0">'Detail Verwarm San Vent'!$A$800:$I$800</definedName>
    <definedName name="Art_65.62." localSheetId="0">'Detail Verwarm San Vent'!$A$803:$I$810</definedName>
    <definedName name="Art_65.63." localSheetId="0">'Detail Verwarm San Vent'!$A$813:$I$820</definedName>
    <definedName name="Art_65.64." localSheetId="0">'Detail Verwarm San Vent'!$A$823:$I$830</definedName>
    <definedName name="Art_65.65." localSheetId="0">'Detail Verwarm San Vent'!#REF!</definedName>
    <definedName name="Art_65.66." localSheetId="0">'Detail Verwarm San Vent'!#REF!</definedName>
    <definedName name="Art_67." localSheetId="0">'Detail Verwarm San Vent'!$A$833:$I$833</definedName>
    <definedName name="Art_67.00." localSheetId="0">'Detail Verwarm San Vent'!$A$836:$I$836</definedName>
    <definedName name="Art_67.10." localSheetId="0">'Detail Verwarm San Vent'!$A$839:$I$839</definedName>
    <definedName name="Art_67.11.">'Detail Verwarm San Vent'!$A$842:$I$849</definedName>
    <definedName name="Art_67.12.">'Detail Verwarm San Vent'!$A$852:$I$859</definedName>
    <definedName name="Art_67.13." localSheetId="0">'Detail Verwarm San Vent'!$A$862:$I$869</definedName>
    <definedName name="Art_68." localSheetId="0">'Detail Verwarm San Vent'!$A$872:$I$872</definedName>
    <definedName name="Art_68.00." localSheetId="0">'Detail Verwarm San Vent'!$A$875:$I$875</definedName>
    <definedName name="Art_68.02." localSheetId="0">'Detail Verwarm San Vent'!$A$878:$I$878</definedName>
    <definedName name="Art_68.02.10." localSheetId="0">'Detail Verwarm San Vent'!$A$881:$I$882</definedName>
    <definedName name="Art_68.02.20." localSheetId="0">'Detail Verwarm San Vent'!$A$885:$I$886</definedName>
    <definedName name="Art_68.10." localSheetId="0">'Detail Verwarm San Vent'!$A$889:$I$889</definedName>
    <definedName name="Art_68.11." localSheetId="0">'Detail Verwarm San Vent'!$A$892:$I$892</definedName>
    <definedName name="Art_68.11.10." localSheetId="0">'Detail Verwarm San Vent'!$A$895:$I$895</definedName>
    <definedName name="Art_68.11.12." localSheetId="0">'Detail Verwarm San Vent'!$A$898:$I$903</definedName>
    <definedName name="Art_68.11.13." localSheetId="0">'Detail Verwarm San Vent'!$A$906:$I$912</definedName>
    <definedName name="Art_68.11.14." localSheetId="0">'Detail Verwarm San Vent'!$A$915:$I$920</definedName>
    <definedName name="Art_68.13." localSheetId="0">'Detail Verwarm San Vent'!$A$923:$I$928</definedName>
    <definedName name="Art_68.15." localSheetId="0">'Detail Verwarm San Vent'!$A$931:$I$932</definedName>
    <definedName name="Art_68.40." localSheetId="0">'Detail Verwarm San Vent'!$A$935:$I$935</definedName>
    <definedName name="Art_68.40.01." localSheetId="0">'Detail Verwarm San Vent'!$A$938:$I$945</definedName>
    <definedName name="Art_68.41." localSheetId="0">'Detail Verwarm San Vent'!$A$938:$I$945</definedName>
    <definedName name="Art_68.50." localSheetId="0">'Detail Verwarm San Vent'!$A$948:$I$948</definedName>
    <definedName name="Art_68.51." localSheetId="0">'Detail Verwarm San Vent'!$A$951:$I$958</definedName>
    <definedName name="Art_68.60." localSheetId="0">'Detail Verwarm San Vent'!$A$961:$I$961</definedName>
    <definedName name="Art_68.61." localSheetId="0">'Detail Verwarm San Vent'!$A$964:$I$964</definedName>
    <definedName name="Art_68.61.11." localSheetId="0">'Detail Verwarm San Vent'!$A$967:$I$974</definedName>
    <definedName name="Art_68.61.12." localSheetId="0">'Detail Verwarm San Vent'!$A$977:$I$984</definedName>
    <definedName name="Art_68.61.13." localSheetId="0">'Detail Verwarm San Vent'!$A$987:$I$994</definedName>
    <definedName name="Art_68.65." localSheetId="0">'Detail Verwarm San Vent'!$A$997:$I$997</definedName>
    <definedName name="Art_68.65.10." localSheetId="0">'Detail Verwarm San Vent'!$A$1000:$I$1007</definedName>
    <definedName name="Art_69." localSheetId="0">'Detail Verwarm San Vent'!$A$1010:$I$1010</definedName>
    <definedName name="Art_69.00." localSheetId="0">'Detail Verwarm San Vent'!$A$1013:$I$1013</definedName>
    <definedName name="Art_69.10." localSheetId="0">'Detail Verwarm San Vent'!$A$1016:$I$1016</definedName>
    <definedName name="Art_69.12." localSheetId="0">'Detail Verwarm San Vent'!$A$1019:$I$1019</definedName>
    <definedName name="Art_69.12.20." localSheetId="0">'Detail Verwarm San Vent'!$A$1022:$I$1029</definedName>
    <definedName name="Art_69.20." localSheetId="0">'Detail Verwarm San Vent'!$A$1032:$I$1032</definedName>
    <definedName name="Art_69.21." localSheetId="0">'Detail Verwarm San Vent'!$A$1035:$I$1042</definedName>
    <definedName name="Art_70.">#REF!</definedName>
    <definedName name="Art_70.00.">#REF!</definedName>
    <definedName name="Art_70.10.">#REF!</definedName>
    <definedName name="Art_70.11.">#REF!</definedName>
    <definedName name="Art_70.12.">#REF!</definedName>
    <definedName name="Art_70.14.">#REF!</definedName>
    <definedName name="Art_70.15.">#REF!</definedName>
    <definedName name="Art_70.20.">#REF!</definedName>
    <definedName name="Art_70.21.">#REF!</definedName>
    <definedName name="Art_70.30.">#REF!</definedName>
    <definedName name="Art_70.31.">#REF!</definedName>
    <definedName name="Art_70.32.">#REF!</definedName>
    <definedName name="Art_70.33.">#REF!</definedName>
    <definedName name="Art_70.40.">#REF!</definedName>
    <definedName name="Art_70.41.">#REF!</definedName>
    <definedName name="Art_70.43.">#REF!</definedName>
    <definedName name="Art_70.44.">#REF!</definedName>
    <definedName name="Art_70.45.">#REF!</definedName>
    <definedName name="Art_70.46.">#REF!</definedName>
    <definedName name="Art_70.50.">#REF!</definedName>
    <definedName name="Art_70.51.">#REF!</definedName>
    <definedName name="Art_70.53.">#REF!</definedName>
    <definedName name="Art_70.54.">#REF!</definedName>
    <definedName name="Art_70.56.">#REF!</definedName>
    <definedName name="Art_70.57.">#REF!</definedName>
    <definedName name="Art_70.60.">#REF!</definedName>
    <definedName name="Art_70.61.">#REF!</definedName>
    <definedName name="Art_70.62.">#REF!</definedName>
    <definedName name="Art_70.65.">#REF!</definedName>
    <definedName name="Art_71.">#REF!</definedName>
    <definedName name="Art_71.00.">#REF!</definedName>
    <definedName name="Art_71.10.">#REF!</definedName>
    <definedName name="Art_71.11.">#REF!</definedName>
    <definedName name="Art_71.13.">#REF!</definedName>
    <definedName name="Art_71.20.">#REF!</definedName>
    <definedName name="Art_71.21.">#REF!</definedName>
    <definedName name="Art_71.23.">#REF!</definedName>
    <definedName name="Art_71.30.">#REF!</definedName>
    <definedName name="Art_71.36.">#REF!</definedName>
    <definedName name="Art_71.38.">#REF!</definedName>
    <definedName name="Art_71.39.">#REF!</definedName>
    <definedName name="Art_71.40.">#REF!</definedName>
    <definedName name="Art_71.41.01">#REF!</definedName>
    <definedName name="Art_71.41.02">#REF!</definedName>
    <definedName name="Art_71.43.">#REF!</definedName>
    <definedName name="Art_72.">#REF!</definedName>
    <definedName name="Art_72.00.">#REF!</definedName>
    <definedName name="Art_72.10.">#REF!</definedName>
    <definedName name="Art_72.11.">#REF!</definedName>
    <definedName name="Art_72.12.">#REF!</definedName>
    <definedName name="Art_72.30.">#REF!</definedName>
    <definedName name="Art_72.31.">#REF!</definedName>
    <definedName name="Art_72.31.01.">#REF!</definedName>
    <definedName name="Art_72.31.02.">#REF!</definedName>
    <definedName name="Art_72.31.04.">#REF!</definedName>
    <definedName name="Art_72.50.">#REF!</definedName>
    <definedName name="Art_72.51.">#REF!</definedName>
    <definedName name="Art_72.55.">#REF!</definedName>
    <definedName name="Art_74.">#REF!</definedName>
    <definedName name="Art_74.00.">#REF!</definedName>
    <definedName name="Art_74.30.">#REF!</definedName>
    <definedName name="Art_74.31.">#REF!</definedName>
    <definedName name="Art_74.32.">#REF!</definedName>
    <definedName name="Art_74.33.">#REF!</definedName>
    <definedName name="Art_74.34.">#REF!</definedName>
    <definedName name="Art_74.35.">#REF!</definedName>
    <definedName name="Art_74.80.">#REF!</definedName>
    <definedName name="Art_77.">#REF!</definedName>
    <definedName name="Art_77.00.">#REF!</definedName>
    <definedName name="Art_77.10.">#REF!</definedName>
    <definedName name="Art_77.20.">#REF!</definedName>
    <definedName name="Art_77.30.">#REF!</definedName>
    <definedName name="Art_77.40.">#REF!</definedName>
    <definedName name="Art_77.41.">#REF!</definedName>
    <definedName name="Art_77.41.20">#REF!</definedName>
    <definedName name="Art_77.42.">#REF!</definedName>
    <definedName name="Art_77.42.10">#REF!</definedName>
    <definedName name="Art_77.42.20">#REF!</definedName>
    <definedName name="Art_77.60.">#REF!</definedName>
    <definedName name="Art_77.62.">#REF!</definedName>
    <definedName name="Art_77.62.10.">#REF!</definedName>
    <definedName name="Art_77.62.20.">#REF!</definedName>
    <definedName name="Art_77.62.30.">#REF!</definedName>
    <definedName name="Art_77.62.40.">#REF!</definedName>
    <definedName name="Art_77.63.">#REF!</definedName>
    <definedName name="Art_78.">#REF!</definedName>
    <definedName name="Art_78.00.">#REF!</definedName>
    <definedName name="Art_78.10.">#REF!</definedName>
    <definedName name="Art_78.11.">#REF!</definedName>
    <definedName name="first_cell" localSheetId="1">'Samenvatting Verwarm San Vent'!$B$9</definedName>
    <definedName name="Section" localSheetId="0">'Detail Verwarm San Vent'!#REF!</definedName>
    <definedName name="TotalLine" localSheetId="1">'Samenvatting Verwarm San Vent'!$B$228</definedName>
    <definedName name="Z_1EA1DABB_57F0_4012_99F2_78FD6D87C9A2_.wvu.Cols" localSheetId="1" hidden="1">'Samenvatting Verwarm San Vent'!$M:$N,'Samenvatting Verwarm San Vent'!$P:$Q,'Samenvatting Verwarm San Vent'!$S:$T,'Samenvatting Verwarm San Vent'!$V:$W,'Samenvatting Verwarm San Vent'!$Y:$Z,'Samenvatting Verwarm San Vent'!$AB:$AC</definedName>
    <definedName name="Z_1EA1DABB_57F0_4012_99F2_78FD6D87C9A2_.wvu.PrintArea" localSheetId="1" hidden="1">'Samenvatting Verwarm San Vent'!$A$1:$AA$34</definedName>
    <definedName name="Z_1EA1DABB_57F0_4012_99F2_78FD6D87C9A2_.wvu.PrintTitles" localSheetId="1" hidden="1">'Samenvatting Verwarm San Vent'!$1:$1</definedName>
    <definedName name="Z_1EA1DABB_57F0_4012_99F2_78FD6D87C9A2_.wvu.Rows" localSheetId="1" hidden="1">'Samenvatting Verwarm San Vent'!$1:$1</definedName>
    <definedName name="Z_2C2C9747_B0CA_48E2_A022_EAB318442176_.wvu.Cols" localSheetId="0" hidden="1">'Detail Verwarm San Vent'!$K:$XFD</definedName>
    <definedName name="Z_2C2C9747_B0CA_48E2_A022_EAB318442176_.wvu.Cols" localSheetId="1" hidden="1">'Samenvatting Verwarm San Vent'!$K:$AC</definedName>
    <definedName name="Z_2C2C9747_B0CA_48E2_A022_EAB318442176_.wvu.Rows" localSheetId="0" hidden="1">'Detail Verwarm San Vent'!$1:$1</definedName>
    <definedName name="Z_2C2C9747_B0CA_48E2_A022_EAB318442176_.wvu.Rows" localSheetId="1" hidden="1">'Samenvatting Verwarm San Vent'!$1:$1</definedName>
    <definedName name="Z_685BC701_F7E6_48FC_BD29_D129DB944F46_.wvu.Cols" localSheetId="1" hidden="1">'Samenvatting Verwarm San Vent'!$AB:$AC</definedName>
    <definedName name="Z_685BC701_F7E6_48FC_BD29_D129DB944F46_.wvu.PrintArea" localSheetId="1" hidden="1">'Samenvatting Verwarm San Vent'!$A$1:$AA$34</definedName>
    <definedName name="Z_685BC701_F7E6_48FC_BD29_D129DB944F46_.wvu.PrintTitles" localSheetId="1" hidden="1">'Samenvatting Verwarm San Vent'!$1:$1</definedName>
    <definedName name="Z_685BC701_F7E6_48FC_BD29_D129DB944F46_.wvu.Rows" localSheetId="1" hidden="1">'Samenvatting Verwarm San Vent'!$1:$1</definedName>
    <definedName name="Z_736E9AD0_36F9_4673_93F3_32549F7E04A7_.wvu.Cols" localSheetId="0" hidden="1">'Detail Verwarm San Vent'!$K:$XFD</definedName>
    <definedName name="Z_736E9AD0_36F9_4673_93F3_32549F7E04A7_.wvu.Rows" localSheetId="0" hidden="1">'Detail Verwarm San Vent'!$1:$1</definedName>
    <definedName name="Z_8E87D3C9_3C12_451A_87EA_163B04B6D69A_.wvu.Cols" localSheetId="0" hidden="1">'Detail Verwarm San Vent'!$K:$XFD</definedName>
    <definedName name="Z_8E87D3C9_3C12_451A_87EA_163B04B6D69A_.wvu.Rows" localSheetId="0" hidden="1">'Detail Verwarm San Vent'!$1:$1</definedName>
    <definedName name="Z_A67801EE_16AB_4453_B88D_EB118836BA93_.wvu.Cols" localSheetId="0" hidden="1">'Detail Verwarm San Vent'!$K:$XFD</definedName>
    <definedName name="Z_A67801EE_16AB_4453_B88D_EB118836BA93_.wvu.Cols" localSheetId="1" hidden="1">'Samenvatting Verwarm San Vent'!$K:$AC</definedName>
    <definedName name="Z_A67801EE_16AB_4453_B88D_EB118836BA93_.wvu.Rows" localSheetId="0" hidden="1">'Detail Verwarm San Vent'!$1:$1</definedName>
    <definedName name="Z_A67801EE_16AB_4453_B88D_EB118836BA93_.wvu.Rows" localSheetId="1" hidden="1">'Samenvatting Verwarm San Vent'!$1:$1</definedName>
  </definedNames>
  <calcPr calcId="191029" refMode="R1C1"/>
  <customWorkbookViews>
    <customWorkbookView name="Simple" guid="{2C2C9747-B0CA-48E2-A022-EAB318442176}" includePrintSettings="0" maximized="1" xWindow="-8" yWindow="-8" windowWidth="1936" windowHeight="1176" activeSheetId="2"/>
    <customWorkbookView name="Extended" guid="{A67801EE-16AB-4453-B88D-EB118836BA93}" includePrintSettings="0" maximized="1" xWindow="-8" yWindow="-8" windowWidth="1936" windowHeight="1176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99" i="13" l="1"/>
  <c r="B4" i="13"/>
  <c r="AC9" i="13" l="1"/>
  <c r="AC10" i="13"/>
  <c r="AC11" i="13"/>
  <c r="AC12" i="13"/>
  <c r="AC13" i="13"/>
  <c r="AC14" i="13"/>
  <c r="AC15" i="13"/>
  <c r="AC16" i="13"/>
  <c r="AC17" i="13"/>
  <c r="AC18" i="13"/>
  <c r="AC19" i="13"/>
  <c r="AC20" i="13"/>
  <c r="AC21" i="13"/>
  <c r="AC22" i="13"/>
  <c r="AC23" i="13"/>
  <c r="AC24" i="13"/>
  <c r="AC25" i="13"/>
  <c r="AC26" i="13"/>
  <c r="AC27" i="13"/>
  <c r="AC28" i="13"/>
  <c r="AC29" i="13"/>
  <c r="AC30" i="13"/>
  <c r="AC31" i="13"/>
  <c r="AC32" i="13"/>
  <c r="AC33" i="13"/>
  <c r="AC34" i="13"/>
  <c r="AC35" i="13"/>
  <c r="AC36" i="13"/>
  <c r="AC37" i="13"/>
  <c r="AC38" i="13"/>
  <c r="AC39" i="13"/>
  <c r="AC40" i="13"/>
  <c r="AC41" i="13"/>
  <c r="AC42" i="13"/>
  <c r="AC43" i="13"/>
  <c r="AC44" i="13"/>
  <c r="AC45" i="13"/>
  <c r="AC46" i="13"/>
  <c r="AC47" i="13"/>
  <c r="AC48" i="13"/>
  <c r="AC49" i="13"/>
  <c r="AC50" i="13"/>
  <c r="AC51" i="13"/>
  <c r="AC52" i="13"/>
  <c r="AC53" i="13"/>
  <c r="AC54" i="13"/>
  <c r="AC55" i="13"/>
  <c r="AC56" i="13"/>
  <c r="AC57" i="13"/>
  <c r="AC58" i="13"/>
  <c r="AC59" i="13"/>
  <c r="AC60" i="13"/>
  <c r="AC61" i="13"/>
  <c r="AC62" i="13"/>
  <c r="AC63" i="13"/>
  <c r="AC64" i="13"/>
  <c r="AC65" i="13"/>
  <c r="AC66" i="13"/>
  <c r="AC67" i="13"/>
  <c r="AC68" i="13"/>
  <c r="AC69" i="13"/>
  <c r="AC70" i="13"/>
  <c r="AC71" i="13"/>
  <c r="AC72" i="13"/>
  <c r="AC73" i="13"/>
  <c r="AC74" i="13"/>
  <c r="AC75" i="13"/>
  <c r="AC76" i="13"/>
  <c r="AC77" i="13"/>
  <c r="AC78" i="13"/>
  <c r="AC79" i="13"/>
  <c r="AC80" i="13"/>
  <c r="AC81" i="13"/>
  <c r="AC82" i="13"/>
  <c r="AC83" i="13"/>
  <c r="AC84" i="13"/>
  <c r="AC85" i="13"/>
  <c r="AC86" i="13"/>
  <c r="AC87" i="13"/>
  <c r="AC88" i="13"/>
  <c r="AC89" i="13"/>
  <c r="AC90" i="13"/>
  <c r="AC91" i="13"/>
  <c r="AC92" i="13"/>
  <c r="AC93" i="13"/>
  <c r="AC94" i="13"/>
  <c r="AC95" i="13"/>
  <c r="AC96" i="13"/>
  <c r="AC97" i="13"/>
  <c r="AC98" i="13"/>
  <c r="AC99" i="13"/>
  <c r="AC100" i="13"/>
  <c r="AC101" i="13"/>
  <c r="AC102" i="13"/>
  <c r="AC103" i="13"/>
  <c r="AC104" i="13"/>
  <c r="AC105" i="13"/>
  <c r="AC106" i="13"/>
  <c r="AC107" i="13"/>
  <c r="AC108" i="13"/>
  <c r="AC109" i="13"/>
  <c r="AC110" i="13"/>
  <c r="AC111" i="13"/>
  <c r="AC112" i="13"/>
  <c r="AC113" i="13"/>
  <c r="AC114" i="13"/>
  <c r="AC115" i="13"/>
  <c r="AC116" i="13"/>
  <c r="AC117" i="13"/>
  <c r="AC118" i="13"/>
  <c r="AC119" i="13"/>
  <c r="AC120" i="13"/>
  <c r="AC121" i="13"/>
  <c r="AC122" i="13"/>
  <c r="AC123" i="13"/>
  <c r="AC124" i="13"/>
  <c r="AC125" i="13"/>
  <c r="AC126" i="13"/>
  <c r="AC127" i="13"/>
  <c r="AC128" i="13"/>
  <c r="AC129" i="13"/>
  <c r="AC130" i="13"/>
  <c r="AC131" i="13"/>
  <c r="AC132" i="13"/>
  <c r="AC133" i="13"/>
  <c r="AC134" i="13"/>
  <c r="AC135" i="13"/>
  <c r="AC136" i="13"/>
  <c r="AC137" i="13"/>
  <c r="AC138" i="13"/>
  <c r="AC139" i="13"/>
  <c r="AC140" i="13"/>
  <c r="AC141" i="13"/>
  <c r="AC142" i="13"/>
  <c r="AC143" i="13"/>
  <c r="AC144" i="13"/>
  <c r="AC145" i="13"/>
  <c r="AC146" i="13"/>
  <c r="AC147" i="13"/>
  <c r="AC148" i="13"/>
  <c r="AC149" i="13"/>
  <c r="AC150" i="13"/>
  <c r="AC151" i="13"/>
  <c r="AC152" i="13"/>
  <c r="AC153" i="13"/>
  <c r="AC154" i="13"/>
  <c r="AC155" i="13"/>
  <c r="AC156" i="13"/>
  <c r="AC157" i="13"/>
  <c r="AC158" i="13"/>
  <c r="AC159" i="13"/>
  <c r="AC160" i="13"/>
  <c r="AC161" i="13"/>
  <c r="AC162" i="13"/>
  <c r="AC163" i="13"/>
  <c r="AC164" i="13"/>
  <c r="AC165" i="13"/>
  <c r="AC166" i="13"/>
  <c r="AC167" i="13"/>
  <c r="AC168" i="13"/>
  <c r="AC169" i="13"/>
  <c r="AC170" i="13"/>
  <c r="AC171" i="13"/>
  <c r="AC172" i="13"/>
  <c r="AC173" i="13"/>
  <c r="AC174" i="13"/>
  <c r="AC175" i="13"/>
  <c r="AC176" i="13"/>
  <c r="AC177" i="13"/>
  <c r="AC178" i="13"/>
  <c r="AC179" i="13"/>
  <c r="AC180" i="13"/>
  <c r="AC181" i="13"/>
  <c r="AC182" i="13"/>
  <c r="AC183" i="13"/>
  <c r="AC184" i="13"/>
  <c r="AC185" i="13"/>
  <c r="AC186" i="13"/>
  <c r="AC187" i="13"/>
  <c r="AC188" i="13"/>
  <c r="AC189" i="13"/>
  <c r="AC190" i="13"/>
  <c r="AC191" i="13"/>
  <c r="AC192" i="13"/>
  <c r="AC193" i="13"/>
  <c r="AC194" i="13"/>
  <c r="AC195" i="13"/>
  <c r="AC196" i="13"/>
  <c r="AC197" i="13"/>
  <c r="AC198" i="13"/>
  <c r="AC199" i="13"/>
  <c r="AC200" i="13"/>
  <c r="AC201" i="13"/>
  <c r="AC202" i="13"/>
  <c r="AC203" i="13"/>
  <c r="AC204" i="13"/>
  <c r="AC205" i="13"/>
  <c r="AC206" i="13"/>
  <c r="AC207" i="13"/>
  <c r="AC208" i="13"/>
  <c r="AC209" i="13"/>
  <c r="AC210" i="13"/>
  <c r="AC211" i="13"/>
  <c r="AC212" i="13"/>
  <c r="AC213" i="13"/>
  <c r="AC214" i="13"/>
  <c r="AC215" i="13"/>
  <c r="AC216" i="13"/>
  <c r="AC217" i="13"/>
  <c r="AC218" i="13"/>
  <c r="AC219" i="13"/>
  <c r="AC220" i="13"/>
  <c r="AC221" i="13"/>
  <c r="AC222" i="13"/>
  <c r="AC223" i="13"/>
  <c r="AC224" i="13"/>
  <c r="AC225" i="13"/>
  <c r="AC226" i="13"/>
  <c r="AC227" i="13"/>
  <c r="AA227" i="13"/>
  <c r="AA225" i="13"/>
  <c r="AA223" i="13"/>
  <c r="AA222" i="13"/>
  <c r="AA221" i="13"/>
  <c r="AA220" i="13"/>
  <c r="AA219" i="13"/>
  <c r="AA218" i="13"/>
  <c r="AA217" i="13"/>
  <c r="AA215" i="13"/>
  <c r="AA211" i="13"/>
  <c r="AA210" i="13"/>
  <c r="AA208" i="13"/>
  <c r="AA206" i="13"/>
  <c r="AA200" i="13"/>
  <c r="AA199" i="13"/>
  <c r="AA198" i="13"/>
  <c r="AA195" i="13"/>
  <c r="AA194" i="13"/>
  <c r="AA193" i="13"/>
  <c r="AA192" i="13"/>
  <c r="AA191" i="13"/>
  <c r="AA190" i="13"/>
  <c r="AA186" i="13"/>
  <c r="AA185" i="13"/>
  <c r="AA184" i="13"/>
  <c r="AA183" i="13"/>
  <c r="AA182" i="13"/>
  <c r="AA181" i="13"/>
  <c r="AA177" i="13"/>
  <c r="AA174" i="13"/>
  <c r="AA173" i="13"/>
  <c r="AA165" i="13"/>
  <c r="AA160" i="13"/>
  <c r="AA159" i="13"/>
  <c r="AA157" i="13"/>
  <c r="AA156" i="13"/>
  <c r="AA154" i="13"/>
  <c r="AA153" i="13"/>
  <c r="AA152" i="13"/>
  <c r="AA151" i="13"/>
  <c r="AA150" i="13"/>
  <c r="AA146" i="13"/>
  <c r="AA143" i="13"/>
  <c r="AA142" i="13"/>
  <c r="AA141" i="13"/>
  <c r="AA140" i="13"/>
  <c r="AA139" i="13"/>
  <c r="AA138" i="13"/>
  <c r="AA136" i="13"/>
  <c r="AA134" i="13"/>
  <c r="AA132" i="13"/>
  <c r="AA128" i="13"/>
  <c r="AA126" i="13"/>
  <c r="AA125" i="13"/>
  <c r="AA122" i="13"/>
  <c r="AA120" i="13"/>
  <c r="AA119" i="13"/>
  <c r="AA117" i="13"/>
  <c r="AA116" i="13"/>
  <c r="AA115" i="13"/>
  <c r="AA114" i="13"/>
  <c r="AA113" i="13"/>
  <c r="AA112" i="13"/>
  <c r="AA110" i="13"/>
  <c r="AA107" i="13"/>
  <c r="AA106" i="13"/>
  <c r="AA103" i="13"/>
  <c r="AA102" i="13"/>
  <c r="AA100" i="13"/>
  <c r="AA98" i="13"/>
  <c r="AA97" i="13"/>
  <c r="AA92" i="13"/>
  <c r="AA91" i="13"/>
  <c r="AA90" i="13"/>
  <c r="AA89" i="13"/>
  <c r="AA88" i="13"/>
  <c r="AA87" i="13"/>
  <c r="AA86" i="13"/>
  <c r="AA82" i="13"/>
  <c r="AA77" i="13"/>
  <c r="AA76" i="13"/>
  <c r="AA75" i="13"/>
  <c r="AA73" i="13"/>
  <c r="AA71" i="13"/>
  <c r="AA65" i="13"/>
  <c r="AA64" i="13"/>
  <c r="AA63" i="13"/>
  <c r="AA62" i="13"/>
  <c r="AA61" i="13"/>
  <c r="AA60" i="13"/>
  <c r="AA59" i="13"/>
  <c r="AA56" i="13"/>
  <c r="AA55" i="13"/>
  <c r="AA54" i="13"/>
  <c r="AA53" i="13"/>
  <c r="AA52" i="13"/>
  <c r="AA50" i="13"/>
  <c r="AA49" i="13"/>
  <c r="AA48" i="13"/>
  <c r="AA47" i="13"/>
  <c r="AA46" i="13"/>
  <c r="AA45" i="13"/>
  <c r="AA44" i="13"/>
  <c r="AA39" i="13"/>
  <c r="AA35" i="13"/>
  <c r="AA26" i="13"/>
  <c r="AA25" i="13"/>
  <c r="AA24" i="13"/>
  <c r="AA23" i="13"/>
  <c r="AA22" i="13"/>
  <c r="AA21" i="13"/>
  <c r="AA20" i="13"/>
  <c r="AA19" i="13"/>
  <c r="AA18" i="13"/>
  <c r="AA17" i="13"/>
  <c r="AA16" i="13"/>
  <c r="AA15" i="13"/>
  <c r="AA14" i="13"/>
  <c r="AA13" i="13"/>
  <c r="AA12" i="13"/>
  <c r="AA11" i="13"/>
  <c r="AA10" i="13"/>
  <c r="AA9" i="13"/>
  <c r="W9" i="13"/>
  <c r="W10" i="13"/>
  <c r="W11" i="13"/>
  <c r="W12" i="13"/>
  <c r="W13" i="13"/>
  <c r="W14" i="13"/>
  <c r="W15" i="13"/>
  <c r="W16" i="13"/>
  <c r="W17" i="13"/>
  <c r="W18" i="13"/>
  <c r="W19" i="13"/>
  <c r="W20" i="13"/>
  <c r="W21" i="13"/>
  <c r="W22" i="13"/>
  <c r="W23" i="13"/>
  <c r="W24" i="13"/>
  <c r="W25" i="13"/>
  <c r="W26" i="13"/>
  <c r="W27" i="13"/>
  <c r="W28" i="13"/>
  <c r="W29" i="13"/>
  <c r="W30" i="13"/>
  <c r="W31" i="13"/>
  <c r="W32" i="13"/>
  <c r="W33" i="13"/>
  <c r="W34" i="13"/>
  <c r="W35" i="13"/>
  <c r="W36" i="13"/>
  <c r="W37" i="13"/>
  <c r="W38" i="13"/>
  <c r="W39" i="13"/>
  <c r="W40" i="13"/>
  <c r="W41" i="13"/>
  <c r="W42" i="13"/>
  <c r="W43" i="13"/>
  <c r="W44" i="13"/>
  <c r="W45" i="13"/>
  <c r="W46" i="13"/>
  <c r="W47" i="13"/>
  <c r="W48" i="13"/>
  <c r="W49" i="13"/>
  <c r="W50" i="13"/>
  <c r="W51" i="13"/>
  <c r="W52" i="13"/>
  <c r="W53" i="13"/>
  <c r="W54" i="13"/>
  <c r="W55" i="13"/>
  <c r="W56" i="13"/>
  <c r="W57" i="13"/>
  <c r="W58" i="13"/>
  <c r="W59" i="13"/>
  <c r="W60" i="13"/>
  <c r="W61" i="13"/>
  <c r="W62" i="13"/>
  <c r="W63" i="13"/>
  <c r="W64" i="13"/>
  <c r="W65" i="13"/>
  <c r="W66" i="13"/>
  <c r="W67" i="13"/>
  <c r="W68" i="13"/>
  <c r="W69" i="13"/>
  <c r="W70" i="13"/>
  <c r="W71" i="13"/>
  <c r="W72" i="13"/>
  <c r="W73" i="13"/>
  <c r="W74" i="13"/>
  <c r="W75" i="13"/>
  <c r="W76" i="13"/>
  <c r="W77" i="13"/>
  <c r="W78" i="13"/>
  <c r="W79" i="13"/>
  <c r="W80" i="13"/>
  <c r="W81" i="13"/>
  <c r="W82" i="13"/>
  <c r="W83" i="13"/>
  <c r="W84" i="13"/>
  <c r="W85" i="13"/>
  <c r="W86" i="13"/>
  <c r="W87" i="13"/>
  <c r="W88" i="13"/>
  <c r="W89" i="13"/>
  <c r="W90" i="13"/>
  <c r="W91" i="13"/>
  <c r="W92" i="13"/>
  <c r="W93" i="13"/>
  <c r="W94" i="13"/>
  <c r="W95" i="13"/>
  <c r="W96" i="13"/>
  <c r="W97" i="13"/>
  <c r="W98" i="13"/>
  <c r="W99" i="13"/>
  <c r="W100" i="13"/>
  <c r="W101" i="13"/>
  <c r="W102" i="13"/>
  <c r="W103" i="13"/>
  <c r="W104" i="13"/>
  <c r="W105" i="13"/>
  <c r="W106" i="13"/>
  <c r="W107" i="13"/>
  <c r="W108" i="13"/>
  <c r="W109" i="13"/>
  <c r="W110" i="13"/>
  <c r="W111" i="13"/>
  <c r="W112" i="13"/>
  <c r="W113" i="13"/>
  <c r="W114" i="13"/>
  <c r="W115" i="13"/>
  <c r="W116" i="13"/>
  <c r="W117" i="13"/>
  <c r="W118" i="13"/>
  <c r="W119" i="13"/>
  <c r="W120" i="13"/>
  <c r="W121" i="13"/>
  <c r="W122" i="13"/>
  <c r="W123" i="13"/>
  <c r="W124" i="13"/>
  <c r="W125" i="13"/>
  <c r="W126" i="13"/>
  <c r="W127" i="13"/>
  <c r="W128" i="13"/>
  <c r="W129" i="13"/>
  <c r="W130" i="13"/>
  <c r="W131" i="13"/>
  <c r="W132" i="13"/>
  <c r="W133" i="13"/>
  <c r="W134" i="13"/>
  <c r="W135" i="13"/>
  <c r="W136" i="13"/>
  <c r="W137" i="13"/>
  <c r="W138" i="13"/>
  <c r="W139" i="13"/>
  <c r="W140" i="13"/>
  <c r="W141" i="13"/>
  <c r="W142" i="13"/>
  <c r="W143" i="13"/>
  <c r="W144" i="13"/>
  <c r="W145" i="13"/>
  <c r="W146" i="13"/>
  <c r="W147" i="13"/>
  <c r="W148" i="13"/>
  <c r="W149" i="13"/>
  <c r="W150" i="13"/>
  <c r="W151" i="13"/>
  <c r="W152" i="13"/>
  <c r="W153" i="13"/>
  <c r="W154" i="13"/>
  <c r="W155" i="13"/>
  <c r="W156" i="13"/>
  <c r="W157" i="13"/>
  <c r="W158" i="13"/>
  <c r="W159" i="13"/>
  <c r="W160" i="13"/>
  <c r="W161" i="13"/>
  <c r="W162" i="13"/>
  <c r="W163" i="13"/>
  <c r="W164" i="13"/>
  <c r="W165" i="13"/>
  <c r="W166" i="13"/>
  <c r="W167" i="13"/>
  <c r="W168" i="13"/>
  <c r="W169" i="13"/>
  <c r="W170" i="13"/>
  <c r="W171" i="13"/>
  <c r="W172" i="13"/>
  <c r="W173" i="13"/>
  <c r="W174" i="13"/>
  <c r="W175" i="13"/>
  <c r="W176" i="13"/>
  <c r="W177" i="13"/>
  <c r="W178" i="13"/>
  <c r="W179" i="13"/>
  <c r="W180" i="13"/>
  <c r="W181" i="13"/>
  <c r="W182" i="13"/>
  <c r="W183" i="13"/>
  <c r="W184" i="13"/>
  <c r="W185" i="13"/>
  <c r="W186" i="13"/>
  <c r="W187" i="13"/>
  <c r="W188" i="13"/>
  <c r="W189" i="13"/>
  <c r="W190" i="13"/>
  <c r="W191" i="13"/>
  <c r="W192" i="13"/>
  <c r="W193" i="13"/>
  <c r="W194" i="13"/>
  <c r="W195" i="13"/>
  <c r="W196" i="13"/>
  <c r="W197" i="13"/>
  <c r="W198" i="13"/>
  <c r="W199" i="13"/>
  <c r="W200" i="13"/>
  <c r="W201" i="13"/>
  <c r="W202" i="13"/>
  <c r="W203" i="13"/>
  <c r="W204" i="13"/>
  <c r="W205" i="13"/>
  <c r="W206" i="13"/>
  <c r="W207" i="13"/>
  <c r="W208" i="13"/>
  <c r="W209" i="13"/>
  <c r="W210" i="13"/>
  <c r="W211" i="13"/>
  <c r="W212" i="13"/>
  <c r="W213" i="13"/>
  <c r="W214" i="13"/>
  <c r="W215" i="13"/>
  <c r="W216" i="13"/>
  <c r="W217" i="13"/>
  <c r="W218" i="13"/>
  <c r="W219" i="13"/>
  <c r="W220" i="13"/>
  <c r="W221" i="13"/>
  <c r="W222" i="13"/>
  <c r="W223" i="13"/>
  <c r="W224" i="13"/>
  <c r="W225" i="13"/>
  <c r="W226" i="13"/>
  <c r="W227" i="13"/>
  <c r="U227" i="13"/>
  <c r="U225" i="13"/>
  <c r="U223" i="13"/>
  <c r="U222" i="13"/>
  <c r="U221" i="13"/>
  <c r="U220" i="13"/>
  <c r="U219" i="13"/>
  <c r="U218" i="13"/>
  <c r="U217" i="13"/>
  <c r="U215" i="13"/>
  <c r="U211" i="13"/>
  <c r="U210" i="13"/>
  <c r="U208" i="13"/>
  <c r="U206" i="13"/>
  <c r="U200" i="13"/>
  <c r="U199" i="13"/>
  <c r="U198" i="13"/>
  <c r="U195" i="13"/>
  <c r="U194" i="13"/>
  <c r="U193" i="13"/>
  <c r="U192" i="13"/>
  <c r="U191" i="13"/>
  <c r="U190" i="13"/>
  <c r="U186" i="13"/>
  <c r="U185" i="13"/>
  <c r="U184" i="13"/>
  <c r="U183" i="13"/>
  <c r="U182" i="13"/>
  <c r="U181" i="13"/>
  <c r="U177" i="13"/>
  <c r="U174" i="13"/>
  <c r="U173" i="13"/>
  <c r="U165" i="13"/>
  <c r="U160" i="13"/>
  <c r="U159" i="13"/>
  <c r="U157" i="13"/>
  <c r="U156" i="13"/>
  <c r="U154" i="13"/>
  <c r="U153" i="13"/>
  <c r="U152" i="13"/>
  <c r="U151" i="13"/>
  <c r="U150" i="13"/>
  <c r="U146" i="13"/>
  <c r="U143" i="13"/>
  <c r="U142" i="13"/>
  <c r="U141" i="13"/>
  <c r="U140" i="13"/>
  <c r="U139" i="13"/>
  <c r="U138" i="13"/>
  <c r="U136" i="13"/>
  <c r="U134" i="13"/>
  <c r="U132" i="13"/>
  <c r="U128" i="13"/>
  <c r="U126" i="13"/>
  <c r="U125" i="13"/>
  <c r="U122" i="13"/>
  <c r="U120" i="13"/>
  <c r="U119" i="13"/>
  <c r="U117" i="13"/>
  <c r="U116" i="13"/>
  <c r="U115" i="13"/>
  <c r="U114" i="13"/>
  <c r="U113" i="13"/>
  <c r="U112" i="13"/>
  <c r="U110" i="13"/>
  <c r="U107" i="13"/>
  <c r="U106" i="13"/>
  <c r="U103" i="13"/>
  <c r="U102" i="13"/>
  <c r="U100" i="13"/>
  <c r="U98" i="13"/>
  <c r="U97" i="13"/>
  <c r="U92" i="13"/>
  <c r="U91" i="13"/>
  <c r="U90" i="13"/>
  <c r="U89" i="13"/>
  <c r="U88" i="13"/>
  <c r="U87" i="13"/>
  <c r="U86" i="13"/>
  <c r="U82" i="13"/>
  <c r="U77" i="13"/>
  <c r="U76" i="13"/>
  <c r="U75" i="13"/>
  <c r="U73" i="13"/>
  <c r="U71" i="13"/>
  <c r="U65" i="13"/>
  <c r="U64" i="13"/>
  <c r="U63" i="13"/>
  <c r="U62" i="13"/>
  <c r="U61" i="13"/>
  <c r="U60" i="13"/>
  <c r="U59" i="13"/>
  <c r="U56" i="13"/>
  <c r="U55" i="13"/>
  <c r="U54" i="13"/>
  <c r="U53" i="13"/>
  <c r="U52" i="13"/>
  <c r="U50" i="13"/>
  <c r="U49" i="13"/>
  <c r="U48" i="13"/>
  <c r="U47" i="13"/>
  <c r="U46" i="13"/>
  <c r="U45" i="13"/>
  <c r="U44" i="13"/>
  <c r="U39" i="13"/>
  <c r="U35" i="13"/>
  <c r="U26" i="13"/>
  <c r="U25" i="13"/>
  <c r="U24" i="13"/>
  <c r="U23" i="13"/>
  <c r="U22" i="13"/>
  <c r="U21" i="13"/>
  <c r="U20" i="13"/>
  <c r="U19" i="13"/>
  <c r="U18" i="13"/>
  <c r="U17" i="13"/>
  <c r="U16" i="13"/>
  <c r="U15" i="13"/>
  <c r="U14" i="13"/>
  <c r="U13" i="13"/>
  <c r="U12" i="13"/>
  <c r="U11" i="13"/>
  <c r="U10" i="13"/>
  <c r="U9" i="13"/>
  <c r="Q9" i="13"/>
  <c r="Q10" i="13"/>
  <c r="Q11" i="13"/>
  <c r="Q12" i="13"/>
  <c r="Q13" i="13"/>
  <c r="Q14" i="13"/>
  <c r="Q15" i="13"/>
  <c r="Q16" i="13"/>
  <c r="Q17" i="13"/>
  <c r="Q18" i="13"/>
  <c r="Q19" i="13"/>
  <c r="Q20" i="13"/>
  <c r="Q21" i="13"/>
  <c r="Q22" i="13"/>
  <c r="Q23" i="13"/>
  <c r="Q24" i="13"/>
  <c r="Q25" i="13"/>
  <c r="Q26" i="13"/>
  <c r="Q27" i="13"/>
  <c r="Q28" i="13"/>
  <c r="Q29" i="13"/>
  <c r="Q30" i="13"/>
  <c r="Q31" i="13"/>
  <c r="Q32" i="13"/>
  <c r="Q33" i="13"/>
  <c r="Q34" i="13"/>
  <c r="Q35" i="13"/>
  <c r="Q36" i="13"/>
  <c r="Q37" i="13"/>
  <c r="Q38" i="13"/>
  <c r="Q39" i="13"/>
  <c r="Q40" i="13"/>
  <c r="Q41" i="13"/>
  <c r="Q42" i="13"/>
  <c r="Q43" i="13"/>
  <c r="Q44" i="13"/>
  <c r="Q45" i="13"/>
  <c r="Q46" i="13"/>
  <c r="Q47" i="13"/>
  <c r="Q48" i="13"/>
  <c r="Q49" i="13"/>
  <c r="Q50" i="13"/>
  <c r="Q51" i="13"/>
  <c r="Q52" i="13"/>
  <c r="Q53" i="13"/>
  <c r="Q54" i="13"/>
  <c r="Q55" i="13"/>
  <c r="Q56" i="13"/>
  <c r="Q57" i="13"/>
  <c r="Q58" i="13"/>
  <c r="Q59" i="13"/>
  <c r="Q60" i="13"/>
  <c r="Q61" i="13"/>
  <c r="Q62" i="13"/>
  <c r="Q63" i="13"/>
  <c r="Q64" i="13"/>
  <c r="Q65" i="13"/>
  <c r="Q66" i="13"/>
  <c r="Q67" i="13"/>
  <c r="Q68" i="13"/>
  <c r="Q69" i="13"/>
  <c r="Q70" i="13"/>
  <c r="Q71" i="13"/>
  <c r="Q72" i="13"/>
  <c r="Q73" i="13"/>
  <c r="Q74" i="13"/>
  <c r="Q75" i="13"/>
  <c r="Q76" i="13"/>
  <c r="Q77" i="13"/>
  <c r="Q78" i="13"/>
  <c r="Q79" i="13"/>
  <c r="Q80" i="13"/>
  <c r="Q81" i="13"/>
  <c r="Q82" i="13"/>
  <c r="Q83" i="13"/>
  <c r="Q84" i="13"/>
  <c r="Q85" i="13"/>
  <c r="Q86" i="13"/>
  <c r="Q87" i="13"/>
  <c r="Q88" i="13"/>
  <c r="Q89" i="13"/>
  <c r="Q90" i="13"/>
  <c r="Q91" i="13"/>
  <c r="Q92" i="13"/>
  <c r="Q93" i="13"/>
  <c r="Q94" i="13"/>
  <c r="Q95" i="13"/>
  <c r="Q96" i="13"/>
  <c r="Q97" i="13"/>
  <c r="Q98" i="13"/>
  <c r="Q99" i="13"/>
  <c r="Q100" i="13"/>
  <c r="Q101" i="13"/>
  <c r="Q102" i="13"/>
  <c r="Q103" i="13"/>
  <c r="Q104" i="13"/>
  <c r="Q105" i="13"/>
  <c r="Q106" i="13"/>
  <c r="Q107" i="13"/>
  <c r="Q108" i="13"/>
  <c r="Q109" i="13"/>
  <c r="Q110" i="13"/>
  <c r="Q111" i="13"/>
  <c r="Q112" i="13"/>
  <c r="Q113" i="13"/>
  <c r="Q114" i="13"/>
  <c r="Q115" i="13"/>
  <c r="Q116" i="13"/>
  <c r="Q117" i="13"/>
  <c r="Q118" i="13"/>
  <c r="Q119" i="13"/>
  <c r="Q120" i="13"/>
  <c r="Q121" i="13"/>
  <c r="Q122" i="13"/>
  <c r="Q123" i="13"/>
  <c r="Q124" i="13"/>
  <c r="Q125" i="13"/>
  <c r="Q126" i="13"/>
  <c r="Q127" i="13"/>
  <c r="Q128" i="13"/>
  <c r="Q129" i="13"/>
  <c r="Q130" i="13"/>
  <c r="Q131" i="13"/>
  <c r="Q132" i="13"/>
  <c r="Q133" i="13"/>
  <c r="Q134" i="13"/>
  <c r="Q135" i="13"/>
  <c r="Q136" i="13"/>
  <c r="Q137" i="13"/>
  <c r="Q138" i="13"/>
  <c r="Q139" i="13"/>
  <c r="Q140" i="13"/>
  <c r="Q141" i="13"/>
  <c r="Q142" i="13"/>
  <c r="Q143" i="13"/>
  <c r="Q144" i="13"/>
  <c r="Q145" i="13"/>
  <c r="Q146" i="13"/>
  <c r="Q147" i="13"/>
  <c r="Q148" i="13"/>
  <c r="Q149" i="13"/>
  <c r="Q150" i="13"/>
  <c r="Q151" i="13"/>
  <c r="Q152" i="13"/>
  <c r="Q153" i="13"/>
  <c r="Q154" i="13"/>
  <c r="Q155" i="13"/>
  <c r="Q156" i="13"/>
  <c r="Q157" i="13"/>
  <c r="Q158" i="13"/>
  <c r="Q159" i="13"/>
  <c r="Q160" i="13"/>
  <c r="Q161" i="13"/>
  <c r="Q162" i="13"/>
  <c r="Q163" i="13"/>
  <c r="Q164" i="13"/>
  <c r="Q165" i="13"/>
  <c r="Q166" i="13"/>
  <c r="Q167" i="13"/>
  <c r="Q168" i="13"/>
  <c r="Q169" i="13"/>
  <c r="Q170" i="13"/>
  <c r="Q171" i="13"/>
  <c r="Q172" i="13"/>
  <c r="Q173" i="13"/>
  <c r="Q174" i="13"/>
  <c r="Q175" i="13"/>
  <c r="Q176" i="13"/>
  <c r="Q177" i="13"/>
  <c r="Q178" i="13"/>
  <c r="Q179" i="13"/>
  <c r="Q180" i="13"/>
  <c r="Q181" i="13"/>
  <c r="Q182" i="13"/>
  <c r="Q183" i="13"/>
  <c r="Q184" i="13"/>
  <c r="Q185" i="13"/>
  <c r="Q186" i="13"/>
  <c r="Q187" i="13"/>
  <c r="Q188" i="13"/>
  <c r="Q189" i="13"/>
  <c r="Q190" i="13"/>
  <c r="Q191" i="13"/>
  <c r="Q192" i="13"/>
  <c r="Q193" i="13"/>
  <c r="Q194" i="13"/>
  <c r="Q195" i="13"/>
  <c r="Q196" i="13"/>
  <c r="Q197" i="13"/>
  <c r="Q198" i="13"/>
  <c r="Q199" i="13"/>
  <c r="Q200" i="13"/>
  <c r="Q201" i="13"/>
  <c r="Q202" i="13"/>
  <c r="Q203" i="13"/>
  <c r="Q204" i="13"/>
  <c r="Q205" i="13"/>
  <c r="Q206" i="13"/>
  <c r="Q207" i="13"/>
  <c r="Q208" i="13"/>
  <c r="Q209" i="13"/>
  <c r="Q210" i="13"/>
  <c r="Q211" i="13"/>
  <c r="Q212" i="13"/>
  <c r="Q213" i="13"/>
  <c r="Q214" i="13"/>
  <c r="Q215" i="13"/>
  <c r="Q216" i="13"/>
  <c r="Q217" i="13"/>
  <c r="Q218" i="13"/>
  <c r="Q219" i="13"/>
  <c r="Q220" i="13"/>
  <c r="Q221" i="13"/>
  <c r="Q222" i="13"/>
  <c r="Q223" i="13"/>
  <c r="Q224" i="13"/>
  <c r="Q225" i="13"/>
  <c r="Q226" i="13"/>
  <c r="Q227" i="13"/>
  <c r="O227" i="13"/>
  <c r="O225" i="13"/>
  <c r="O223" i="13"/>
  <c r="O222" i="13"/>
  <c r="O221" i="13"/>
  <c r="O220" i="13"/>
  <c r="O219" i="13"/>
  <c r="O218" i="13"/>
  <c r="O217" i="13"/>
  <c r="O215" i="13"/>
  <c r="O211" i="13"/>
  <c r="O210" i="13"/>
  <c r="O208" i="13"/>
  <c r="O206" i="13"/>
  <c r="O200" i="13"/>
  <c r="O199" i="13"/>
  <c r="O198" i="13"/>
  <c r="O195" i="13"/>
  <c r="O194" i="13"/>
  <c r="O193" i="13"/>
  <c r="O192" i="13"/>
  <c r="O191" i="13"/>
  <c r="O190" i="13"/>
  <c r="O186" i="13"/>
  <c r="O185" i="13"/>
  <c r="O184" i="13"/>
  <c r="O183" i="13"/>
  <c r="O182" i="13"/>
  <c r="O181" i="13"/>
  <c r="O177" i="13"/>
  <c r="O174" i="13"/>
  <c r="O173" i="13"/>
  <c r="O165" i="13"/>
  <c r="O160" i="13"/>
  <c r="O159" i="13"/>
  <c r="O157" i="13"/>
  <c r="O156" i="13"/>
  <c r="O154" i="13"/>
  <c r="O153" i="13"/>
  <c r="O152" i="13"/>
  <c r="O151" i="13"/>
  <c r="O150" i="13"/>
  <c r="O146" i="13"/>
  <c r="O143" i="13"/>
  <c r="O142" i="13"/>
  <c r="O141" i="13"/>
  <c r="O140" i="13"/>
  <c r="O139" i="13"/>
  <c r="O138" i="13"/>
  <c r="O136" i="13"/>
  <c r="O134" i="13"/>
  <c r="O132" i="13"/>
  <c r="O128" i="13"/>
  <c r="O126" i="13"/>
  <c r="O125" i="13"/>
  <c r="O122" i="13"/>
  <c r="O120" i="13"/>
  <c r="O119" i="13"/>
  <c r="O117" i="13"/>
  <c r="O116" i="13"/>
  <c r="O115" i="13"/>
  <c r="O114" i="13"/>
  <c r="O113" i="13"/>
  <c r="O112" i="13"/>
  <c r="O110" i="13"/>
  <c r="O107" i="13"/>
  <c r="O106" i="13"/>
  <c r="O103" i="13"/>
  <c r="O102" i="13"/>
  <c r="O100" i="13"/>
  <c r="O98" i="13"/>
  <c r="O97" i="13"/>
  <c r="O92" i="13"/>
  <c r="O91" i="13"/>
  <c r="O90" i="13"/>
  <c r="O89" i="13"/>
  <c r="O88" i="13"/>
  <c r="O87" i="13"/>
  <c r="O86" i="13"/>
  <c r="O82" i="13"/>
  <c r="O77" i="13"/>
  <c r="O76" i="13"/>
  <c r="O75" i="13"/>
  <c r="O73" i="13"/>
  <c r="O71" i="13"/>
  <c r="O65" i="13"/>
  <c r="O64" i="13"/>
  <c r="O63" i="13"/>
  <c r="O62" i="13"/>
  <c r="O61" i="13"/>
  <c r="O60" i="13"/>
  <c r="O59" i="13"/>
  <c r="O56" i="13"/>
  <c r="O55" i="13"/>
  <c r="O54" i="13"/>
  <c r="O53" i="13"/>
  <c r="O52" i="13"/>
  <c r="O50" i="13"/>
  <c r="O49" i="13"/>
  <c r="O48" i="13"/>
  <c r="O47" i="13"/>
  <c r="O46" i="13"/>
  <c r="O45" i="13"/>
  <c r="O44" i="13"/>
  <c r="O39" i="13"/>
  <c r="O35" i="13"/>
  <c r="O26" i="13"/>
  <c r="O25" i="13"/>
  <c r="O24" i="13"/>
  <c r="O23" i="13"/>
  <c r="O22" i="13"/>
  <c r="O21" i="13"/>
  <c r="O20" i="13"/>
  <c r="O19" i="13"/>
  <c r="O18" i="13"/>
  <c r="O17" i="13"/>
  <c r="O16" i="13"/>
  <c r="O15" i="13"/>
  <c r="O14" i="13"/>
  <c r="O13" i="13"/>
  <c r="O12" i="13"/>
  <c r="O11" i="13"/>
  <c r="O10" i="13"/>
  <c r="O9" i="13"/>
  <c r="J22" i="13"/>
  <c r="A28" i="13"/>
  <c r="A29" i="13" s="1"/>
  <c r="A30" i="13" s="1"/>
  <c r="A31" i="13" s="1"/>
  <c r="A32" i="13" s="1"/>
  <c r="A33" i="13" s="1"/>
  <c r="A34" i="13" s="1"/>
  <c r="A36" i="13" s="1"/>
  <c r="A37" i="13" s="1"/>
  <c r="A38" i="13" s="1"/>
  <c r="A40" i="13" s="1"/>
  <c r="A41" i="13" s="1"/>
  <c r="A42" i="13" s="1"/>
  <c r="A43" i="13" s="1"/>
  <c r="A51" i="13" s="1"/>
  <c r="A57" i="13" s="1"/>
  <c r="A58" i="13" s="1"/>
  <c r="A66" i="13" s="1"/>
  <c r="A67" i="13" s="1"/>
  <c r="A68" i="13" s="1"/>
  <c r="A69" i="13" s="1"/>
  <c r="A70" i="13" s="1"/>
  <c r="A72" i="13" s="1"/>
  <c r="A74" i="13" s="1"/>
  <c r="A78" i="13" s="1"/>
  <c r="A79" i="13" s="1"/>
  <c r="A80" i="13" s="1"/>
  <c r="A81" i="13" s="1"/>
  <c r="A83" i="13" s="1"/>
  <c r="A84" i="13" s="1"/>
  <c r="A85" i="13" s="1"/>
  <c r="A93" i="13" s="1"/>
  <c r="A94" i="13" s="1"/>
  <c r="A95" i="13" s="1"/>
  <c r="A96" i="13" s="1"/>
  <c r="I674" i="12"/>
  <c r="I673" i="12"/>
  <c r="I672" i="12"/>
  <c r="I671" i="12"/>
  <c r="I353" i="12"/>
  <c r="I352" i="12"/>
  <c r="I351" i="12"/>
  <c r="I350" i="12"/>
  <c r="I349" i="12"/>
  <c r="I322" i="12"/>
  <c r="I321" i="12"/>
  <c r="I320" i="12"/>
  <c r="I319" i="12"/>
  <c r="I257" i="12"/>
  <c r="I256" i="12"/>
  <c r="I259" i="12"/>
  <c r="I258" i="12"/>
  <c r="I261" i="12"/>
  <c r="I260" i="12"/>
  <c r="I262" i="12"/>
  <c r="I254" i="12"/>
  <c r="I253" i="12"/>
  <c r="I252" i="12"/>
  <c r="I248" i="12"/>
  <c r="I247" i="12"/>
  <c r="I246" i="12"/>
  <c r="I244" i="12"/>
  <c r="I243" i="12"/>
  <c r="I242" i="12"/>
  <c r="I241" i="12"/>
  <c r="I1041" i="12"/>
  <c r="I1040" i="12"/>
  <c r="I1039" i="12"/>
  <c r="I1038" i="12"/>
  <c r="I1037" i="12"/>
  <c r="I1028" i="12"/>
  <c r="I1027" i="12"/>
  <c r="I1026" i="12"/>
  <c r="I1025" i="12"/>
  <c r="I1024" i="12"/>
  <c r="I1006" i="12"/>
  <c r="I1005" i="12"/>
  <c r="I1004" i="12"/>
  <c r="I1003" i="12"/>
  <c r="I1002" i="12"/>
  <c r="I993" i="12"/>
  <c r="I992" i="12"/>
  <c r="I991" i="12"/>
  <c r="I990" i="12"/>
  <c r="I989" i="12"/>
  <c r="I983" i="12"/>
  <c r="I982" i="12"/>
  <c r="I981" i="12"/>
  <c r="I980" i="12"/>
  <c r="I979" i="12"/>
  <c r="I973" i="12"/>
  <c r="I972" i="12"/>
  <c r="I971" i="12"/>
  <c r="I970" i="12"/>
  <c r="I969" i="12"/>
  <c r="I957" i="12"/>
  <c r="I956" i="12"/>
  <c r="I955" i="12"/>
  <c r="I954" i="12"/>
  <c r="I953" i="12"/>
  <c r="I944" i="12"/>
  <c r="I943" i="12"/>
  <c r="I942" i="12"/>
  <c r="I941" i="12"/>
  <c r="I940" i="12"/>
  <c r="I927" i="12"/>
  <c r="I926" i="12"/>
  <c r="I925" i="12"/>
  <c r="I919" i="12"/>
  <c r="I920" i="12" s="1"/>
  <c r="I918" i="12"/>
  <c r="I917" i="12"/>
  <c r="I911" i="12"/>
  <c r="I910" i="12"/>
  <c r="I909" i="12"/>
  <c r="I908" i="12"/>
  <c r="I902" i="12"/>
  <c r="I901" i="12"/>
  <c r="I900" i="12"/>
  <c r="I868" i="12"/>
  <c r="I867" i="12"/>
  <c r="I866" i="12"/>
  <c r="I865" i="12"/>
  <c r="I864" i="12"/>
  <c r="I858" i="12"/>
  <c r="I857" i="12"/>
  <c r="I856" i="12"/>
  <c r="I855" i="12"/>
  <c r="I854" i="12"/>
  <c r="I848" i="12"/>
  <c r="I847" i="12"/>
  <c r="I846" i="12"/>
  <c r="I845" i="12"/>
  <c r="I844" i="12"/>
  <c r="I829" i="12"/>
  <c r="I828" i="12"/>
  <c r="I827" i="12"/>
  <c r="I826" i="12"/>
  <c r="I825" i="12"/>
  <c r="I819" i="12"/>
  <c r="I818" i="12"/>
  <c r="I817" i="12"/>
  <c r="I816" i="12"/>
  <c r="I815" i="12"/>
  <c r="I809" i="12"/>
  <c r="D808" i="12"/>
  <c r="I808" i="12" s="1"/>
  <c r="I807" i="12"/>
  <c r="I805" i="12"/>
  <c r="I796" i="12"/>
  <c r="I795" i="12"/>
  <c r="I794" i="12"/>
  <c r="I793" i="12"/>
  <c r="I792" i="12"/>
  <c r="I786" i="12"/>
  <c r="I785" i="12"/>
  <c r="I784" i="12"/>
  <c r="I772" i="12"/>
  <c r="I771" i="12"/>
  <c r="I770" i="12"/>
  <c r="I769" i="12"/>
  <c r="I768" i="12"/>
  <c r="I762" i="12"/>
  <c r="I761" i="12"/>
  <c r="I760" i="12"/>
  <c r="I759" i="12"/>
  <c r="I758" i="12"/>
  <c r="I752" i="12"/>
  <c r="I751" i="12"/>
  <c r="I750" i="12"/>
  <c r="I749" i="12"/>
  <c r="I748" i="12"/>
  <c r="I742" i="12"/>
  <c r="I741" i="12"/>
  <c r="I740" i="12"/>
  <c r="I739" i="12"/>
  <c r="I738" i="12"/>
  <c r="I732" i="12"/>
  <c r="I731" i="12"/>
  <c r="I730" i="12"/>
  <c r="I729" i="12"/>
  <c r="I723" i="12"/>
  <c r="I722" i="12"/>
  <c r="D721" i="12"/>
  <c r="I721" i="12" s="1"/>
  <c r="I720" i="12"/>
  <c r="I719" i="12"/>
  <c r="I713" i="12"/>
  <c r="I712" i="12"/>
  <c r="I711" i="12"/>
  <c r="D710" i="12"/>
  <c r="I710" i="12" s="1"/>
  <c r="I709" i="12"/>
  <c r="I696" i="12"/>
  <c r="I695" i="12"/>
  <c r="I693" i="12"/>
  <c r="I687" i="12"/>
  <c r="I686" i="12"/>
  <c r="I685" i="12"/>
  <c r="I684" i="12"/>
  <c r="I678" i="12"/>
  <c r="I677" i="12"/>
  <c r="I676" i="12"/>
  <c r="I675" i="12"/>
  <c r="I670" i="12"/>
  <c r="I669" i="12"/>
  <c r="I668" i="12"/>
  <c r="I667" i="12"/>
  <c r="I666" i="12"/>
  <c r="I665" i="12"/>
  <c r="I664" i="12"/>
  <c r="I663" i="12"/>
  <c r="I662" i="12"/>
  <c r="I661" i="12"/>
  <c r="I649" i="12"/>
  <c r="I648" i="12"/>
  <c r="I647" i="12"/>
  <c r="I646" i="12"/>
  <c r="I645" i="12"/>
  <c r="I608" i="12"/>
  <c r="I607" i="12"/>
  <c r="I606" i="12"/>
  <c r="I605" i="12"/>
  <c r="I604" i="12"/>
  <c r="I598" i="12"/>
  <c r="I597" i="12"/>
  <c r="I596" i="12"/>
  <c r="I595" i="12"/>
  <c r="I594" i="12"/>
  <c r="I579" i="12"/>
  <c r="I578" i="12"/>
  <c r="I577" i="12"/>
  <c r="I576" i="12"/>
  <c r="I567" i="12"/>
  <c r="I566" i="12"/>
  <c r="I565" i="12"/>
  <c r="I564" i="12"/>
  <c r="I555" i="12"/>
  <c r="I554" i="12"/>
  <c r="I553" i="12"/>
  <c r="I552" i="12"/>
  <c r="I543" i="12"/>
  <c r="I542" i="12"/>
  <c r="I541" i="12"/>
  <c r="I540" i="12"/>
  <c r="I539" i="12"/>
  <c r="I533" i="12"/>
  <c r="I532" i="12"/>
  <c r="I531" i="12"/>
  <c r="I530" i="12"/>
  <c r="I524" i="12"/>
  <c r="I523" i="12"/>
  <c r="I522" i="12"/>
  <c r="I521" i="12"/>
  <c r="I520" i="12"/>
  <c r="I519" i="12"/>
  <c r="I510" i="12"/>
  <c r="I509" i="12"/>
  <c r="I508" i="12"/>
  <c r="I507" i="12"/>
  <c r="I506" i="12"/>
  <c r="I460" i="12"/>
  <c r="I459" i="12"/>
  <c r="I458" i="12"/>
  <c r="I457" i="12"/>
  <c r="I448" i="12"/>
  <c r="I447" i="12"/>
  <c r="I446" i="12"/>
  <c r="I445" i="12"/>
  <c r="I439" i="12"/>
  <c r="I438" i="12"/>
  <c r="I437" i="12"/>
  <c r="I436" i="12"/>
  <c r="I424" i="12"/>
  <c r="I423" i="12"/>
  <c r="I422" i="12"/>
  <c r="I421" i="12"/>
  <c r="I415" i="12"/>
  <c r="I414" i="12"/>
  <c r="I413" i="12"/>
  <c r="I412" i="12"/>
  <c r="I400" i="12"/>
  <c r="I399" i="12"/>
  <c r="I398" i="12"/>
  <c r="I397" i="12"/>
  <c r="I396" i="12"/>
  <c r="I395" i="12"/>
  <c r="I386" i="12"/>
  <c r="I385" i="12"/>
  <c r="I384" i="12"/>
  <c r="I383" i="12"/>
  <c r="I363" i="12"/>
  <c r="I362" i="12"/>
  <c r="I361" i="12"/>
  <c r="I360" i="12"/>
  <c r="I359" i="12"/>
  <c r="I331" i="12"/>
  <c r="I330" i="12"/>
  <c r="I329" i="12"/>
  <c r="I328" i="12"/>
  <c r="I313" i="12"/>
  <c r="I312" i="12"/>
  <c r="I311" i="12"/>
  <c r="I310" i="12"/>
  <c r="I301" i="12"/>
  <c r="I300" i="12"/>
  <c r="I297" i="12"/>
  <c r="I291" i="12"/>
  <c r="I290" i="12"/>
  <c r="I289" i="12"/>
  <c r="I288" i="12"/>
  <c r="I287" i="12"/>
  <c r="I281" i="12"/>
  <c r="I280" i="12"/>
  <c r="I279" i="12"/>
  <c r="I278" i="12"/>
  <c r="I277" i="12"/>
  <c r="I276" i="12"/>
  <c r="I275" i="12"/>
  <c r="I274" i="12"/>
  <c r="I273" i="12"/>
  <c r="I272" i="12"/>
  <c r="I271" i="12"/>
  <c r="I265" i="12"/>
  <c r="I264" i="12"/>
  <c r="I263" i="12"/>
  <c r="I255" i="12"/>
  <c r="I251" i="12"/>
  <c r="I250" i="12"/>
  <c r="I249" i="12"/>
  <c r="I245" i="12"/>
  <c r="I240" i="12"/>
  <c r="I239" i="12"/>
  <c r="I224" i="12"/>
  <c r="I223" i="12"/>
  <c r="I222" i="12"/>
  <c r="I221" i="12"/>
  <c r="I220" i="12"/>
  <c r="I204" i="12"/>
  <c r="I203" i="12"/>
  <c r="I202" i="12"/>
  <c r="I201" i="12"/>
  <c r="I195" i="12"/>
  <c r="I194" i="12"/>
  <c r="I193" i="12"/>
  <c r="I192" i="12"/>
  <c r="I191" i="12"/>
  <c r="I185" i="12"/>
  <c r="I184" i="12"/>
  <c r="I183" i="12"/>
  <c r="I182" i="12"/>
  <c r="I181" i="12"/>
  <c r="I175" i="12"/>
  <c r="I174" i="12"/>
  <c r="I173" i="12"/>
  <c r="I172" i="12"/>
  <c r="I171" i="12"/>
  <c r="I165" i="12"/>
  <c r="I164" i="12"/>
  <c r="I163" i="12"/>
  <c r="I162" i="12"/>
  <c r="B214" i="13"/>
  <c r="E67" i="13"/>
  <c r="C71" i="13"/>
  <c r="C39" i="13"/>
  <c r="B91" i="13"/>
  <c r="C29" i="13"/>
  <c r="B11" i="13"/>
  <c r="F197" i="13"/>
  <c r="B202" i="13"/>
  <c r="C154" i="13"/>
  <c r="B100" i="13"/>
  <c r="D130" i="13"/>
  <c r="E96" i="13"/>
  <c r="C209" i="13"/>
  <c r="E124" i="13"/>
  <c r="B144" i="13"/>
  <c r="F27" i="13"/>
  <c r="B47" i="13"/>
  <c r="C221" i="13"/>
  <c r="E189" i="13"/>
  <c r="D196" i="13"/>
  <c r="E99" i="13"/>
  <c r="C56" i="13"/>
  <c r="F36" i="13"/>
  <c r="E179" i="13"/>
  <c r="B186" i="13"/>
  <c r="B57" i="13"/>
  <c r="D66" i="13"/>
  <c r="B17" i="13"/>
  <c r="B97" i="13"/>
  <c r="E30" i="13"/>
  <c r="B119" i="13"/>
  <c r="B137" i="13"/>
  <c r="B75" i="13"/>
  <c r="C184" i="13"/>
  <c r="B161" i="13"/>
  <c r="C214" i="13"/>
  <c r="B222" i="13"/>
  <c r="D32" i="13"/>
  <c r="E111" i="13"/>
  <c r="C170" i="13"/>
  <c r="C105" i="13"/>
  <c r="C224" i="13"/>
  <c r="C82" i="13"/>
  <c r="B225" i="13"/>
  <c r="F42" i="13"/>
  <c r="C63" i="13"/>
  <c r="B72" i="13"/>
  <c r="B124" i="13"/>
  <c r="C75" i="13"/>
  <c r="C16" i="13"/>
  <c r="C206" i="13"/>
  <c r="E167" i="13"/>
  <c r="E43" i="13"/>
  <c r="B51" i="13"/>
  <c r="C172" i="13"/>
  <c r="D135" i="13"/>
  <c r="C26" i="13"/>
  <c r="B63" i="13"/>
  <c r="E105" i="13"/>
  <c r="B165" i="13"/>
  <c r="C117" i="13"/>
  <c r="B102" i="13"/>
  <c r="D133" i="13"/>
  <c r="E135" i="13"/>
  <c r="C160" i="13"/>
  <c r="C74" i="13"/>
  <c r="D131" i="13"/>
  <c r="C156" i="13"/>
  <c r="B179" i="13"/>
  <c r="B56" i="13"/>
  <c r="C101" i="13"/>
  <c r="E130" i="13"/>
  <c r="C79" i="13"/>
  <c r="B103" i="13"/>
  <c r="F51" i="13"/>
  <c r="E207" i="13"/>
  <c r="C213" i="13"/>
  <c r="C159" i="13"/>
  <c r="D158" i="13"/>
  <c r="C128" i="13"/>
  <c r="D180" i="13"/>
  <c r="B132" i="13"/>
  <c r="E144" i="13"/>
  <c r="B76" i="13"/>
  <c r="C123" i="13"/>
  <c r="C194" i="13"/>
  <c r="C102" i="13"/>
  <c r="B201" i="13"/>
  <c r="B27" i="13"/>
  <c r="B110" i="13"/>
  <c r="C31" i="13"/>
  <c r="F40" i="13"/>
  <c r="C13" i="13"/>
  <c r="D176" i="13"/>
  <c r="B95" i="13"/>
  <c r="E145" i="13"/>
  <c r="D189" i="13"/>
  <c r="E203" i="13"/>
  <c r="D226" i="13"/>
  <c r="B215" i="13"/>
  <c r="B94" i="13"/>
  <c r="C25" i="13"/>
  <c r="E29" i="13"/>
  <c r="C40" i="13"/>
  <c r="E79" i="13"/>
  <c r="C94" i="13"/>
  <c r="C120" i="13"/>
  <c r="B38" i="13"/>
  <c r="C62" i="13"/>
  <c r="B50" i="13"/>
  <c r="C85" i="13"/>
  <c r="C146" i="13"/>
  <c r="C161" i="13"/>
  <c r="B210" i="13"/>
  <c r="C109" i="13"/>
  <c r="B84" i="13"/>
  <c r="B131" i="13"/>
  <c r="B126" i="13"/>
  <c r="C41" i="13"/>
  <c r="D155" i="13"/>
  <c r="E80" i="13"/>
  <c r="C111" i="13"/>
  <c r="F43" i="13"/>
  <c r="E188" i="13"/>
  <c r="F203" i="13"/>
  <c r="E78" i="13"/>
  <c r="E69" i="13"/>
  <c r="B21" i="13"/>
  <c r="D149" i="13"/>
  <c r="C34" i="13"/>
  <c r="B164" i="13"/>
  <c r="C177" i="13"/>
  <c r="E224" i="13"/>
  <c r="C135" i="13"/>
  <c r="D187" i="13"/>
  <c r="C77" i="13"/>
  <c r="C210" i="13"/>
  <c r="D83" i="13"/>
  <c r="B173" i="13"/>
  <c r="B12" i="13"/>
  <c r="B78" i="13"/>
  <c r="D137" i="13"/>
  <c r="F57" i="13"/>
  <c r="E162" i="13"/>
  <c r="E171" i="13"/>
  <c r="C81" i="13"/>
  <c r="B73" i="13"/>
  <c r="B58" i="13"/>
  <c r="D30" i="13"/>
  <c r="C174" i="13"/>
  <c r="B98" i="13"/>
  <c r="D169" i="13"/>
  <c r="B20" i="13"/>
  <c r="B115" i="13"/>
  <c r="C162" i="13"/>
  <c r="B43" i="13"/>
  <c r="D96" i="13"/>
  <c r="C222" i="13"/>
  <c r="C21" i="13"/>
  <c r="D179" i="13"/>
  <c r="B156" i="13"/>
  <c r="B207" i="13"/>
  <c r="D78" i="13"/>
  <c r="B212" i="13"/>
  <c r="E175" i="13"/>
  <c r="B64" i="13"/>
  <c r="F147" i="13"/>
  <c r="F29" i="13"/>
  <c r="E180" i="13"/>
  <c r="C66" i="13"/>
  <c r="D36" i="13"/>
  <c r="E51" i="13"/>
  <c r="E109" i="13"/>
  <c r="C84" i="13"/>
  <c r="D40" i="13"/>
  <c r="B109" i="13"/>
  <c r="E149" i="13"/>
  <c r="C205" i="13"/>
  <c r="D124" i="13"/>
  <c r="D34" i="13"/>
  <c r="D168" i="13"/>
  <c r="C110" i="13"/>
  <c r="B48" i="13"/>
  <c r="D201" i="13"/>
  <c r="C12" i="13"/>
  <c r="B10" i="13"/>
  <c r="D224" i="13"/>
  <c r="D95" i="13"/>
  <c r="B194" i="13"/>
  <c r="D99" i="13"/>
  <c r="D163" i="13"/>
  <c r="D94" i="13"/>
  <c r="B136" i="13"/>
  <c r="C173" i="13"/>
  <c r="C133" i="13"/>
  <c r="C200" i="13"/>
  <c r="B66" i="13"/>
  <c r="C145" i="13"/>
  <c r="E196" i="13"/>
  <c r="B30" i="13"/>
  <c r="C189" i="13"/>
  <c r="C73" i="13"/>
  <c r="C201" i="13"/>
  <c r="B39" i="13"/>
  <c r="D214" i="13"/>
  <c r="D202" i="13"/>
  <c r="F37" i="13"/>
  <c r="D172" i="13"/>
  <c r="B40" i="13"/>
  <c r="D105" i="13"/>
  <c r="C185" i="13"/>
  <c r="B148" i="13"/>
  <c r="E31" i="13"/>
  <c r="B118" i="13"/>
  <c r="B175" i="13"/>
  <c r="E42" i="13"/>
  <c r="B127" i="13"/>
  <c r="D42" i="13"/>
  <c r="C164" i="13"/>
  <c r="F30" i="13"/>
  <c r="B146" i="13"/>
  <c r="D68" i="13"/>
  <c r="D101" i="13"/>
  <c r="B68" i="13"/>
  <c r="D188" i="13"/>
  <c r="C43" i="13"/>
  <c r="E129" i="13"/>
  <c r="D38" i="13"/>
  <c r="B149" i="13"/>
  <c r="B177" i="13"/>
  <c r="E84" i="13"/>
  <c r="F34" i="13"/>
  <c r="D175" i="13"/>
  <c r="B82" i="13"/>
  <c r="C100" i="13"/>
  <c r="B168" i="13"/>
  <c r="D79" i="13"/>
  <c r="B221" i="13"/>
  <c r="C137" i="13"/>
  <c r="D203" i="13"/>
  <c r="C155" i="13"/>
  <c r="D207" i="13"/>
  <c r="C176" i="13"/>
  <c r="C195" i="13"/>
  <c r="E118" i="13"/>
  <c r="C93" i="13"/>
  <c r="E83" i="13"/>
  <c r="E28" i="13"/>
  <c r="D93" i="13"/>
  <c r="C70" i="13"/>
  <c r="B176" i="13"/>
  <c r="C226" i="13"/>
  <c r="C130" i="13"/>
  <c r="D69" i="13"/>
  <c r="D111" i="13"/>
  <c r="E101" i="13"/>
  <c r="E74" i="13"/>
  <c r="C157" i="13"/>
  <c r="C76" i="13"/>
  <c r="E176" i="13"/>
  <c r="D197" i="13"/>
  <c r="B80" i="13"/>
  <c r="B70" i="13"/>
  <c r="B19" i="13"/>
  <c r="C178" i="13"/>
  <c r="C51" i="13"/>
  <c r="F96" i="13"/>
  <c r="E41" i="13"/>
  <c r="B143" i="13"/>
  <c r="E36" i="13"/>
  <c r="C89" i="13"/>
  <c r="F164" i="13"/>
  <c r="F148" i="13"/>
  <c r="C149" i="13"/>
  <c r="F28" i="13"/>
  <c r="B71" i="13"/>
  <c r="D80" i="13"/>
  <c r="C68" i="13"/>
  <c r="B226" i="13"/>
  <c r="F196" i="13"/>
  <c r="D171" i="13"/>
  <c r="D123" i="13"/>
  <c r="C122" i="13"/>
  <c r="C83" i="13"/>
  <c r="B211" i="13"/>
  <c r="C14" i="13"/>
  <c r="D51" i="13"/>
  <c r="B93" i="13"/>
  <c r="F33" i="13"/>
  <c r="C115" i="13"/>
  <c r="B170" i="13"/>
  <c r="E70" i="13"/>
  <c r="B101" i="13"/>
  <c r="E33" i="13"/>
  <c r="C90" i="13"/>
  <c r="C207" i="13"/>
  <c r="C15" i="13"/>
  <c r="F118" i="13"/>
  <c r="E209" i="13"/>
  <c r="B107" i="13"/>
  <c r="C203" i="13"/>
  <c r="E104" i="13"/>
  <c r="B62" i="13"/>
  <c r="D161" i="13"/>
  <c r="C30" i="13"/>
  <c r="B116" i="13"/>
  <c r="B209" i="13"/>
  <c r="C67" i="13"/>
  <c r="C91" i="13"/>
  <c r="B117" i="13"/>
  <c r="C64" i="13"/>
  <c r="B169" i="13"/>
  <c r="B157" i="13"/>
  <c r="B203" i="13"/>
  <c r="E72" i="13"/>
  <c r="C95" i="13"/>
  <c r="D81" i="13"/>
  <c r="E127" i="13"/>
  <c r="B42" i="13"/>
  <c r="C124" i="13"/>
  <c r="C78" i="13"/>
  <c r="F149" i="13"/>
  <c r="E34" i="13"/>
  <c r="B14" i="13"/>
  <c r="D148" i="13"/>
  <c r="B213" i="13"/>
  <c r="C215" i="13"/>
  <c r="B83" i="13"/>
  <c r="B130" i="13"/>
  <c r="B49" i="13"/>
  <c r="E85" i="13"/>
  <c r="E214" i="13"/>
  <c r="C107" i="13"/>
  <c r="C198" i="13"/>
  <c r="C158" i="13"/>
  <c r="D121" i="13"/>
  <c r="E202" i="13"/>
  <c r="C121" i="13"/>
  <c r="B224" i="13"/>
  <c r="B111" i="13"/>
  <c r="B69" i="13"/>
  <c r="C204" i="13"/>
  <c r="B81" i="13"/>
  <c r="B65" i="13"/>
  <c r="B220" i="13"/>
  <c r="C119" i="13"/>
  <c r="B25" i="13"/>
  <c r="D209" i="13"/>
  <c r="B223" i="13"/>
  <c r="C97" i="13"/>
  <c r="F205" i="13"/>
  <c r="B135" i="13"/>
  <c r="C171" i="13"/>
  <c r="E58" i="13"/>
  <c r="D74" i="13"/>
  <c r="E168" i="13"/>
  <c r="B133" i="13"/>
  <c r="B34" i="13"/>
  <c r="B188" i="13"/>
  <c r="E178" i="13"/>
  <c r="E147" i="13"/>
  <c r="C142" i="13"/>
  <c r="B18" i="13"/>
  <c r="B204" i="13"/>
  <c r="B96" i="13"/>
  <c r="C165" i="13"/>
  <c r="D108" i="13"/>
  <c r="D58" i="13"/>
  <c r="C180" i="13"/>
  <c r="C148" i="13"/>
  <c r="E27" i="13"/>
  <c r="B189" i="13"/>
  <c r="B180" i="13"/>
  <c r="B79" i="13"/>
  <c r="B162" i="13"/>
  <c r="E201" i="13"/>
  <c r="E131" i="13"/>
  <c r="D167" i="13"/>
  <c r="D164" i="13"/>
  <c r="E38" i="13"/>
  <c r="B167" i="13"/>
  <c r="C38" i="13"/>
  <c r="C186" i="13"/>
  <c r="C17" i="13"/>
  <c r="C223" i="13"/>
  <c r="B145" i="13"/>
  <c r="C118" i="13"/>
  <c r="C65" i="13"/>
  <c r="C103" i="13"/>
  <c r="E212" i="13"/>
  <c r="C168" i="13"/>
  <c r="C129" i="13"/>
  <c r="B196" i="13"/>
  <c r="F32" i="13"/>
  <c r="C55" i="13"/>
  <c r="B216" i="13"/>
  <c r="D84" i="13"/>
  <c r="C147" i="13"/>
  <c r="B105" i="13"/>
  <c r="B155" i="13"/>
  <c r="B37" i="13"/>
  <c r="E197" i="13"/>
  <c r="F58" i="13"/>
  <c r="D127" i="13"/>
  <c r="B163" i="13"/>
  <c r="B158" i="13"/>
  <c r="D144" i="13"/>
  <c r="B208" i="13"/>
  <c r="E148" i="13"/>
  <c r="F155" i="13"/>
  <c r="C169" i="13"/>
  <c r="E81" i="13"/>
  <c r="E123" i="13"/>
  <c r="C104" i="13"/>
  <c r="B198" i="13"/>
  <c r="C179" i="13"/>
  <c r="F95" i="13"/>
  <c r="B125" i="13"/>
  <c r="C37" i="13"/>
  <c r="E205" i="13"/>
  <c r="B15" i="13"/>
  <c r="B120" i="13"/>
  <c r="D204" i="13"/>
  <c r="F123" i="13"/>
  <c r="C131" i="13"/>
  <c r="D28" i="13"/>
  <c r="E163" i="13"/>
  <c r="C36" i="13"/>
  <c r="C193" i="13"/>
  <c r="C99" i="13"/>
  <c r="E213" i="13"/>
  <c r="C196" i="13"/>
  <c r="E170" i="13"/>
  <c r="B185" i="13"/>
  <c r="E164" i="13"/>
  <c r="D70" i="13"/>
  <c r="C19" i="13"/>
  <c r="E68" i="13"/>
  <c r="C134" i="13"/>
  <c r="D170" i="13"/>
  <c r="C11" i="13"/>
  <c r="C167" i="13"/>
  <c r="B89" i="13"/>
  <c r="E95" i="13"/>
  <c r="D109" i="13"/>
  <c r="C50" i="13"/>
  <c r="E158" i="13"/>
  <c r="B35" i="13"/>
  <c r="B199" i="13"/>
  <c r="B134" i="13"/>
  <c r="D178" i="13"/>
  <c r="D37" i="13"/>
  <c r="D41" i="13"/>
  <c r="E169" i="13"/>
  <c r="F41" i="13"/>
  <c r="D216" i="13"/>
  <c r="C32" i="13"/>
  <c r="C10" i="13"/>
  <c r="C18" i="13"/>
  <c r="C132" i="13"/>
  <c r="C153" i="13"/>
  <c r="C27" i="13"/>
  <c r="C72" i="13"/>
  <c r="B166" i="13"/>
  <c r="B142" i="13"/>
  <c r="C163" i="13"/>
  <c r="C144" i="13"/>
  <c r="F121" i="13"/>
  <c r="E108" i="13"/>
  <c r="E133" i="13"/>
  <c r="C98" i="13"/>
  <c r="C48" i="13"/>
  <c r="C220" i="13"/>
  <c r="C58" i="13"/>
  <c r="B154" i="13"/>
  <c r="B32" i="13"/>
  <c r="B121" i="13"/>
  <c r="B200" i="13"/>
  <c r="E66" i="13"/>
  <c r="B55" i="13"/>
  <c r="D27" i="13"/>
  <c r="B178" i="13"/>
  <c r="B99" i="13"/>
  <c r="C33" i="13"/>
  <c r="C212" i="13"/>
  <c r="C211" i="13"/>
  <c r="C175" i="13"/>
  <c r="C197" i="13"/>
  <c r="E166" i="13"/>
  <c r="D57" i="13"/>
  <c r="B13" i="13"/>
  <c r="C96" i="13"/>
  <c r="B31" i="13"/>
  <c r="C202" i="13"/>
  <c r="C166" i="13"/>
  <c r="D43" i="13"/>
  <c r="C116" i="13"/>
  <c r="D145" i="13"/>
  <c r="B159" i="13"/>
  <c r="B26" i="13"/>
  <c r="B128" i="13"/>
  <c r="C136" i="13"/>
  <c r="E137" i="13"/>
  <c r="B106" i="13"/>
  <c r="C126" i="13"/>
  <c r="B206" i="13"/>
  <c r="B160" i="13"/>
  <c r="B33" i="13"/>
  <c r="B74" i="13"/>
  <c r="B77" i="13"/>
  <c r="E161" i="13"/>
  <c r="B205" i="13"/>
  <c r="E93" i="13"/>
  <c r="B129" i="13"/>
  <c r="D205" i="13"/>
  <c r="D67" i="13"/>
  <c r="B172" i="13"/>
  <c r="D29" i="13"/>
  <c r="B67" i="13"/>
  <c r="C49" i="13"/>
  <c r="B171" i="13"/>
  <c r="E172" i="13"/>
  <c r="E37" i="13"/>
  <c r="F124" i="13"/>
  <c r="B85" i="13"/>
  <c r="C187" i="13"/>
  <c r="B108" i="13"/>
  <c r="C42" i="13"/>
  <c r="B104" i="13"/>
  <c r="C92" i="13"/>
  <c r="B29" i="13"/>
  <c r="E121" i="13"/>
  <c r="E204" i="13"/>
  <c r="B123" i="13"/>
  <c r="C143" i="13"/>
  <c r="B174" i="13"/>
  <c r="B141" i="13"/>
  <c r="C28" i="13"/>
  <c r="E40" i="13"/>
  <c r="E187" i="13"/>
  <c r="C216" i="13"/>
  <c r="B184" i="13"/>
  <c r="C106" i="13"/>
  <c r="D118" i="13"/>
  <c r="D85" i="13"/>
  <c r="C141" i="13"/>
  <c r="B195" i="13"/>
  <c r="C47" i="13"/>
  <c r="C127" i="13"/>
  <c r="B187" i="13"/>
  <c r="F72" i="13"/>
  <c r="B122" i="13"/>
  <c r="D162" i="13"/>
  <c r="B90" i="13"/>
  <c r="B147" i="13"/>
  <c r="B193" i="13"/>
  <c r="E216" i="13"/>
  <c r="E155" i="13"/>
  <c r="D104" i="13"/>
  <c r="C208" i="13"/>
  <c r="F31" i="13"/>
  <c r="E57" i="13"/>
  <c r="C225" i="13"/>
  <c r="D213" i="13"/>
  <c r="D212" i="13"/>
  <c r="D33" i="13"/>
  <c r="C80" i="13"/>
  <c r="E32" i="13"/>
  <c r="E226" i="13"/>
  <c r="D147" i="13"/>
  <c r="F38" i="13"/>
  <c r="D166" i="13"/>
  <c r="B153" i="13"/>
  <c r="B36" i="13"/>
  <c r="B16" i="13"/>
  <c r="C188" i="13"/>
  <c r="B92" i="13"/>
  <c r="D129" i="13"/>
  <c r="C108" i="13"/>
  <c r="C199" i="13"/>
  <c r="C125" i="13"/>
  <c r="C69" i="13"/>
  <c r="B197" i="13"/>
  <c r="B41" i="13"/>
  <c r="C35" i="13"/>
  <c r="D72" i="13"/>
  <c r="E94" i="13"/>
  <c r="B28" i="13"/>
  <c r="D31" i="13"/>
  <c r="C57" i="13"/>
  <c r="C20" i="13"/>
  <c r="A101" i="13" l="1"/>
  <c r="A104" i="13" s="1"/>
  <c r="A105" i="13" s="1"/>
  <c r="A108" i="13" s="1"/>
  <c r="A109" i="13" s="1"/>
  <c r="A111" i="13" s="1"/>
  <c r="A118" i="13" s="1"/>
  <c r="A121" i="13" s="1"/>
  <c r="A123" i="13" s="1"/>
  <c r="A124" i="13" s="1"/>
  <c r="A127" i="13" s="1"/>
  <c r="A129" i="13" s="1"/>
  <c r="A130" i="13" s="1"/>
  <c r="A131" i="13" s="1"/>
  <c r="A133" i="13" s="1"/>
  <c r="A135" i="13" s="1"/>
  <c r="A137" i="13" s="1"/>
  <c r="A144" i="13" s="1"/>
  <c r="A145" i="13" s="1"/>
  <c r="A147" i="13" s="1"/>
  <c r="A148" i="13" s="1"/>
  <c r="A149" i="13" s="1"/>
  <c r="A155" i="13" s="1"/>
  <c r="A158" i="13" s="1"/>
  <c r="A161" i="13" s="1"/>
  <c r="A162" i="13" s="1"/>
  <c r="A163" i="13" s="1"/>
  <c r="A164" i="13" s="1"/>
  <c r="A166" i="13" s="1"/>
  <c r="A167" i="13" s="1"/>
  <c r="A168" i="13" s="1"/>
  <c r="A169" i="13" s="1"/>
  <c r="A170" i="13" s="1"/>
  <c r="A171" i="13" s="1"/>
  <c r="A172" i="13" s="1"/>
  <c r="A175" i="13" s="1"/>
  <c r="A176" i="13" s="1"/>
  <c r="A178" i="13" s="1"/>
  <c r="A179" i="13" s="1"/>
  <c r="A180" i="13" s="1"/>
  <c r="AA27" i="13"/>
  <c r="U27" i="13"/>
  <c r="O27" i="13"/>
  <c r="AA28" i="13"/>
  <c r="O28" i="13"/>
  <c r="U28" i="13"/>
  <c r="AA29" i="13"/>
  <c r="O29" i="13"/>
  <c r="U29" i="13"/>
  <c r="AA30" i="13"/>
  <c r="U30" i="13"/>
  <c r="O30" i="13"/>
  <c r="U31" i="13"/>
  <c r="AA31" i="13"/>
  <c r="O31" i="13"/>
  <c r="U32" i="13"/>
  <c r="AA32" i="13"/>
  <c r="O32" i="13"/>
  <c r="U33" i="13"/>
  <c r="AA33" i="13"/>
  <c r="O33" i="13"/>
  <c r="U34" i="13"/>
  <c r="O34" i="13"/>
  <c r="AA34" i="13"/>
  <c r="AA36" i="13"/>
  <c r="U36" i="13"/>
  <c r="O36" i="13"/>
  <c r="AA37" i="13"/>
  <c r="U37" i="13"/>
  <c r="O37" i="13"/>
  <c r="AA38" i="13"/>
  <c r="U38" i="13"/>
  <c r="O38" i="13"/>
  <c r="U40" i="13"/>
  <c r="AA40" i="13"/>
  <c r="O40" i="13"/>
  <c r="U41" i="13"/>
  <c r="AA41" i="13"/>
  <c r="O41" i="13"/>
  <c r="U42" i="13"/>
  <c r="AA42" i="13"/>
  <c r="O42" i="13"/>
  <c r="AA43" i="13"/>
  <c r="U43" i="13"/>
  <c r="O43" i="13"/>
  <c r="AA51" i="13"/>
  <c r="U51" i="13"/>
  <c r="O51" i="13"/>
  <c r="U57" i="13"/>
  <c r="AA57" i="13"/>
  <c r="O57" i="13"/>
  <c r="U58" i="13"/>
  <c r="AA58" i="13"/>
  <c r="O58" i="13"/>
  <c r="U72" i="13"/>
  <c r="AA72" i="13"/>
  <c r="O72" i="13"/>
  <c r="U95" i="13"/>
  <c r="AA95" i="13"/>
  <c r="O95" i="13"/>
  <c r="U96" i="13"/>
  <c r="AA96" i="13"/>
  <c r="O96" i="13"/>
  <c r="U118" i="13"/>
  <c r="AA118" i="13"/>
  <c r="O118" i="13"/>
  <c r="AA121" i="13"/>
  <c r="O121" i="13"/>
  <c r="U121" i="13"/>
  <c r="AA123" i="13"/>
  <c r="U123" i="13"/>
  <c r="O123" i="13"/>
  <c r="U124" i="13"/>
  <c r="AA124" i="13"/>
  <c r="O124" i="13"/>
  <c r="AA147" i="13"/>
  <c r="U147" i="13"/>
  <c r="O147" i="13"/>
  <c r="U148" i="13"/>
  <c r="AA148" i="13"/>
  <c r="O148" i="13"/>
  <c r="U149" i="13"/>
  <c r="AA149" i="13"/>
  <c r="O149" i="13"/>
  <c r="AA155" i="13"/>
  <c r="U155" i="13"/>
  <c r="O155" i="13"/>
  <c r="U164" i="13"/>
  <c r="AA164" i="13"/>
  <c r="O164" i="13"/>
  <c r="AA176" i="13"/>
  <c r="U176" i="13"/>
  <c r="O176" i="13"/>
  <c r="U196" i="13"/>
  <c r="AA196" i="13"/>
  <c r="O196" i="13"/>
  <c r="U197" i="13"/>
  <c r="O197" i="13"/>
  <c r="AA197" i="13"/>
  <c r="U203" i="13"/>
  <c r="AA203" i="13"/>
  <c r="O203" i="13"/>
  <c r="U205" i="13"/>
  <c r="O205" i="13"/>
  <c r="AA205" i="13"/>
  <c r="I27" i="13"/>
  <c r="I28" i="13"/>
  <c r="I29" i="13"/>
  <c r="I30" i="13"/>
  <c r="I31" i="13"/>
  <c r="I32" i="13"/>
  <c r="I33" i="13"/>
  <c r="I34" i="13"/>
  <c r="I36" i="13"/>
  <c r="I37" i="13"/>
  <c r="I38" i="13"/>
  <c r="I40" i="13"/>
  <c r="I41" i="13"/>
  <c r="I42" i="13"/>
  <c r="I43" i="13"/>
  <c r="I51" i="13"/>
  <c r="J52" i="13" s="1"/>
  <c r="I57" i="13"/>
  <c r="I58" i="13"/>
  <c r="I72" i="13"/>
  <c r="I95" i="13"/>
  <c r="I96" i="13"/>
  <c r="I118" i="13"/>
  <c r="I121" i="13"/>
  <c r="I123" i="13"/>
  <c r="I124" i="13"/>
  <c r="I147" i="13"/>
  <c r="I148" i="13"/>
  <c r="I149" i="13"/>
  <c r="I155" i="13"/>
  <c r="I164" i="13"/>
  <c r="I176" i="13"/>
  <c r="I196" i="13"/>
  <c r="I197" i="13"/>
  <c r="I203" i="13"/>
  <c r="I205" i="13"/>
  <c r="I679" i="12"/>
  <c r="I282" i="12"/>
  <c r="I354" i="12"/>
  <c r="I323" i="12"/>
  <c r="I266" i="12"/>
  <c r="I314" i="12"/>
  <c r="I166" i="12"/>
  <c r="I994" i="12"/>
  <c r="I1029" i="12"/>
  <c r="I733" i="12"/>
  <c r="I544" i="12"/>
  <c r="I912" i="12"/>
  <c r="I425" i="12"/>
  <c r="I449" i="12"/>
  <c r="I511" i="12"/>
  <c r="I568" i="12"/>
  <c r="I869" i="12"/>
  <c r="I984" i="12"/>
  <c r="I724" i="12"/>
  <c r="I797" i="12"/>
  <c r="I205" i="12"/>
  <c r="I176" i="12"/>
  <c r="I387" i="12"/>
  <c r="I820" i="12"/>
  <c r="I1042" i="12"/>
  <c r="I332" i="12"/>
  <c r="I849" i="12"/>
  <c r="I416" i="12"/>
  <c r="I292" i="12"/>
  <c r="I440" i="12"/>
  <c r="I225" i="12"/>
  <c r="I525" i="12"/>
  <c r="I650" i="12"/>
  <c r="I945" i="12"/>
  <c r="I534" i="12"/>
  <c r="I830" i="12"/>
  <c r="I859" i="12"/>
  <c r="I196" i="12"/>
  <c r="I461" i="12"/>
  <c r="I580" i="12"/>
  <c r="I763" i="12"/>
  <c r="I903" i="12"/>
  <c r="I1007" i="12"/>
  <c r="I958" i="12"/>
  <c r="I186" i="12"/>
  <c r="I714" i="12"/>
  <c r="I974" i="12"/>
  <c r="I401" i="12"/>
  <c r="I609" i="12"/>
  <c r="I599" i="12"/>
  <c r="I773" i="12"/>
  <c r="I556" i="12"/>
  <c r="I743" i="12"/>
  <c r="I787" i="12"/>
  <c r="I688" i="12"/>
  <c r="I364" i="12"/>
  <c r="I753" i="12"/>
  <c r="I928" i="12"/>
  <c r="F162" i="13"/>
  <c r="F168" i="13"/>
  <c r="F137" i="13"/>
  <c r="F144" i="13"/>
  <c r="F170" i="13"/>
  <c r="F224" i="13"/>
  <c r="F94" i="13"/>
  <c r="F99" i="13"/>
  <c r="F108" i="13"/>
  <c r="F69" i="13"/>
  <c r="F67" i="13"/>
  <c r="F180" i="13"/>
  <c r="F131" i="13"/>
  <c r="F207" i="13"/>
  <c r="F188" i="13"/>
  <c r="F70" i="13"/>
  <c r="F204" i="13"/>
  <c r="F104" i="13"/>
  <c r="F209" i="13"/>
  <c r="F213" i="13"/>
  <c r="F216" i="13"/>
  <c r="F111" i="13"/>
  <c r="F84" i="13"/>
  <c r="F79" i="13"/>
  <c r="F66" i="13"/>
  <c r="F109" i="13"/>
  <c r="F127" i="13"/>
  <c r="F80" i="13"/>
  <c r="F161" i="13"/>
  <c r="F78" i="13"/>
  <c r="F171" i="13"/>
  <c r="F169" i="13"/>
  <c r="F68" i="13"/>
  <c r="F105" i="13"/>
  <c r="F172" i="13"/>
  <c r="F214" i="13"/>
  <c r="F85" i="13"/>
  <c r="F135" i="13"/>
  <c r="F101" i="13"/>
  <c r="F176" i="13"/>
  <c r="F187" i="13"/>
  <c r="F158" i="13"/>
  <c r="F167" i="13"/>
  <c r="F83" i="13"/>
  <c r="F212" i="13"/>
  <c r="F130" i="13"/>
  <c r="F166" i="13"/>
  <c r="F189" i="13"/>
  <c r="F74" i="13"/>
  <c r="F93" i="13"/>
  <c r="F179" i="13"/>
  <c r="F175" i="13"/>
  <c r="F201" i="13"/>
  <c r="F145" i="13"/>
  <c r="F133" i="13"/>
  <c r="F202" i="13"/>
  <c r="F129" i="13"/>
  <c r="F226" i="13"/>
  <c r="A187" i="13" l="1"/>
  <c r="A188" i="13" s="1"/>
  <c r="A189" i="13" s="1"/>
  <c r="A196" i="13" s="1"/>
  <c r="A197" i="13" s="1"/>
  <c r="A201" i="13" s="1"/>
  <c r="A202" i="13" s="1"/>
  <c r="A203" i="13" s="1"/>
  <c r="A204" i="13" s="1"/>
  <c r="A205" i="13" s="1"/>
  <c r="A207" i="13" s="1"/>
  <c r="A209" i="13" s="1"/>
  <c r="A212" i="13" s="1"/>
  <c r="A213" i="13" s="1"/>
  <c r="A214" i="13" s="1"/>
  <c r="A216" i="13" s="1"/>
  <c r="A224" i="13" s="1"/>
  <c r="A226" i="13" s="1"/>
  <c r="I169" i="13"/>
  <c r="AA169" i="13"/>
  <c r="U169" i="13"/>
  <c r="O169" i="13"/>
  <c r="AA204" i="13"/>
  <c r="U204" i="13"/>
  <c r="I204" i="13"/>
  <c r="O204" i="13"/>
  <c r="I130" i="13"/>
  <c r="AA130" i="13"/>
  <c r="U130" i="13"/>
  <c r="O130" i="13"/>
  <c r="I109" i="13"/>
  <c r="U109" i="13"/>
  <c r="AA109" i="13"/>
  <c r="O109" i="13"/>
  <c r="U83" i="13"/>
  <c r="O83" i="13"/>
  <c r="I83" i="13"/>
  <c r="AA83" i="13"/>
  <c r="AA67" i="13"/>
  <c r="U67" i="13"/>
  <c r="O67" i="13"/>
  <c r="I67" i="13"/>
  <c r="AA144" i="13"/>
  <c r="U144" i="13"/>
  <c r="O144" i="13"/>
  <c r="I144" i="13"/>
  <c r="I201" i="13"/>
  <c r="AA201" i="13"/>
  <c r="U201" i="13"/>
  <c r="O201" i="13"/>
  <c r="O187" i="13"/>
  <c r="U187" i="13"/>
  <c r="I187" i="13"/>
  <c r="AA187" i="13"/>
  <c r="AA170" i="13"/>
  <c r="O170" i="13"/>
  <c r="U170" i="13"/>
  <c r="I170" i="13"/>
  <c r="U145" i="13"/>
  <c r="AA145" i="13"/>
  <c r="I145" i="13"/>
  <c r="O145" i="13"/>
  <c r="I207" i="13"/>
  <c r="AA207" i="13"/>
  <c r="O207" i="13"/>
  <c r="U207" i="13"/>
  <c r="I85" i="13"/>
  <c r="AA85" i="13"/>
  <c r="O85" i="13"/>
  <c r="U85" i="13"/>
  <c r="U70" i="13"/>
  <c r="O70" i="13"/>
  <c r="AA70" i="13"/>
  <c r="I70" i="13"/>
  <c r="U105" i="13"/>
  <c r="AA105" i="13"/>
  <c r="I105" i="13"/>
  <c r="O105" i="13"/>
  <c r="AA78" i="13"/>
  <c r="U78" i="13"/>
  <c r="O78" i="13"/>
  <c r="I78" i="13"/>
  <c r="I189" i="13"/>
  <c r="U189" i="13"/>
  <c r="O189" i="13"/>
  <c r="AA189" i="13"/>
  <c r="AA94" i="13"/>
  <c r="U94" i="13"/>
  <c r="O94" i="13"/>
  <c r="I94" i="13"/>
  <c r="I158" i="13"/>
  <c r="U158" i="13"/>
  <c r="AA158" i="13"/>
  <c r="O158" i="13"/>
  <c r="I84" i="13"/>
  <c r="O84" i="13"/>
  <c r="U84" i="13"/>
  <c r="AA84" i="13"/>
  <c r="O69" i="13"/>
  <c r="U69" i="13"/>
  <c r="I69" i="13"/>
  <c r="AA69" i="13"/>
  <c r="AA171" i="13"/>
  <c r="U171" i="13"/>
  <c r="I171" i="13"/>
  <c r="O171" i="13"/>
  <c r="O202" i="13"/>
  <c r="AA202" i="13"/>
  <c r="U202" i="13"/>
  <c r="I202" i="13"/>
  <c r="AA162" i="13"/>
  <c r="I162" i="13"/>
  <c r="O162" i="13"/>
  <c r="U162" i="13"/>
  <c r="U212" i="13"/>
  <c r="I212" i="13"/>
  <c r="O212" i="13"/>
  <c r="AA212" i="13"/>
  <c r="AA137" i="13"/>
  <c r="O137" i="13"/>
  <c r="I137" i="13"/>
  <c r="U137" i="13"/>
  <c r="AA129" i="13"/>
  <c r="O129" i="13"/>
  <c r="U129" i="13"/>
  <c r="I129" i="13"/>
  <c r="I179" i="13"/>
  <c r="U179" i="13"/>
  <c r="O179" i="13"/>
  <c r="AA179" i="13"/>
  <c r="O167" i="13"/>
  <c r="AA167" i="13"/>
  <c r="I167" i="13"/>
  <c r="U167" i="13"/>
  <c r="U131" i="13"/>
  <c r="O131" i="13"/>
  <c r="I131" i="13"/>
  <c r="AA131" i="13"/>
  <c r="AA93" i="13"/>
  <c r="U93" i="13"/>
  <c r="O93" i="13"/>
  <c r="I93" i="13"/>
  <c r="U108" i="13"/>
  <c r="O108" i="13"/>
  <c r="AA108" i="13"/>
  <c r="I108" i="13"/>
  <c r="U224" i="13"/>
  <c r="AA224" i="13"/>
  <c r="I224" i="13"/>
  <c r="O224" i="13"/>
  <c r="U101" i="13"/>
  <c r="O101" i="13"/>
  <c r="AA101" i="13"/>
  <c r="I101" i="13"/>
  <c r="O226" i="13"/>
  <c r="AA226" i="13"/>
  <c r="U226" i="13"/>
  <c r="I226" i="13"/>
  <c r="U175" i="13"/>
  <c r="AA175" i="13"/>
  <c r="O175" i="13"/>
  <c r="I175" i="13"/>
  <c r="I166" i="13"/>
  <c r="U166" i="13"/>
  <c r="AA166" i="13"/>
  <c r="O166" i="13"/>
  <c r="AA111" i="13"/>
  <c r="O111" i="13"/>
  <c r="I111" i="13"/>
  <c r="U111" i="13"/>
  <c r="U74" i="13"/>
  <c r="O74" i="13"/>
  <c r="AA74" i="13"/>
  <c r="I74" i="13"/>
  <c r="U99" i="13"/>
  <c r="O99" i="13"/>
  <c r="I99" i="13"/>
  <c r="AA99" i="13"/>
  <c r="I213" i="13"/>
  <c r="U213" i="13"/>
  <c r="O213" i="13"/>
  <c r="AA213" i="13"/>
  <c r="U168" i="13"/>
  <c r="AA168" i="13"/>
  <c r="O168" i="13"/>
  <c r="I168" i="13"/>
  <c r="O79" i="13"/>
  <c r="U79" i="13"/>
  <c r="I79" i="13"/>
  <c r="AA79" i="13"/>
  <c r="U133" i="13"/>
  <c r="I133" i="13"/>
  <c r="AA133" i="13"/>
  <c r="O133" i="13"/>
  <c r="U80" i="13"/>
  <c r="O80" i="13"/>
  <c r="AA80" i="13"/>
  <c r="I80" i="13"/>
  <c r="AA161" i="13"/>
  <c r="O161" i="13"/>
  <c r="I161" i="13"/>
  <c r="U161" i="13"/>
  <c r="I68" i="13"/>
  <c r="AA68" i="13"/>
  <c r="O68" i="13"/>
  <c r="U68" i="13"/>
  <c r="U209" i="13"/>
  <c r="O209" i="13"/>
  <c r="I209" i="13"/>
  <c r="AA209" i="13"/>
  <c r="U188" i="13"/>
  <c r="O188" i="13"/>
  <c r="I188" i="13"/>
  <c r="AA188" i="13"/>
  <c r="I135" i="13"/>
  <c r="U135" i="13"/>
  <c r="AA135" i="13"/>
  <c r="O135" i="13"/>
  <c r="AA214" i="13"/>
  <c r="U214" i="13"/>
  <c r="I214" i="13"/>
  <c r="O214" i="13"/>
  <c r="AA172" i="13"/>
  <c r="O172" i="13"/>
  <c r="I172" i="13"/>
  <c r="U172" i="13"/>
  <c r="AA216" i="13"/>
  <c r="O216" i="13"/>
  <c r="I216" i="13"/>
  <c r="U216" i="13"/>
  <c r="I180" i="13"/>
  <c r="O180" i="13"/>
  <c r="U180" i="13"/>
  <c r="AA180" i="13"/>
  <c r="AA104" i="13"/>
  <c r="U104" i="13"/>
  <c r="O104" i="13"/>
  <c r="I104" i="13"/>
  <c r="O127" i="13"/>
  <c r="U127" i="13"/>
  <c r="I127" i="13"/>
  <c r="AA127" i="13"/>
  <c r="O66" i="13"/>
  <c r="U66" i="13"/>
  <c r="I66" i="13"/>
  <c r="AA66" i="13"/>
  <c r="E298" i="12"/>
  <c r="I298" i="12" s="1"/>
  <c r="D806" i="12"/>
  <c r="I806" i="12" s="1"/>
  <c r="I810" i="12" s="1"/>
  <c r="E299" i="12"/>
  <c r="I299" i="12" s="1"/>
  <c r="E694" i="12"/>
  <c r="I694" i="12" s="1"/>
  <c r="I697" i="12" s="1"/>
  <c r="J59" i="13"/>
  <c r="J44" i="13"/>
  <c r="F178" i="13"/>
  <c r="F163" i="13"/>
  <c r="I302" i="12" l="1"/>
  <c r="J150" i="13"/>
  <c r="J227" i="13"/>
  <c r="J190" i="13"/>
  <c r="J217" i="13"/>
  <c r="J112" i="13"/>
  <c r="J138" i="13"/>
  <c r="O163" i="13"/>
  <c r="AA163" i="13"/>
  <c r="I163" i="13"/>
  <c r="U163" i="13"/>
  <c r="O178" i="13"/>
  <c r="U178" i="13"/>
  <c r="I178" i="13"/>
  <c r="AA178" i="13"/>
  <c r="F81" i="13"/>
  <c r="AA81" i="13" l="1"/>
  <c r="AA228" i="13" s="1"/>
  <c r="O81" i="13"/>
  <c r="O228" i="13" s="1"/>
  <c r="I81" i="13"/>
  <c r="J86" i="13" s="1"/>
  <c r="U81" i="13"/>
  <c r="U228" i="13" s="1"/>
  <c r="V182" i="13" s="1"/>
  <c r="J181" i="13"/>
  <c r="J228" i="13" l="1"/>
  <c r="J230" i="13" s="1"/>
  <c r="J232" i="13" s="1"/>
  <c r="I228" i="13"/>
  <c r="I230" i="13" s="1"/>
  <c r="I232" i="13" s="1"/>
  <c r="V39" i="13"/>
  <c r="V45" i="13"/>
  <c r="V44" i="13"/>
  <c r="V49" i="13"/>
  <c r="V14" i="13"/>
  <c r="V55" i="13"/>
  <c r="V148" i="13"/>
  <c r="V169" i="13"/>
  <c r="V26" i="13"/>
  <c r="V80" i="13"/>
  <c r="V99" i="13"/>
  <c r="V167" i="13"/>
  <c r="V192" i="13"/>
  <c r="V15" i="13"/>
  <c r="V54" i="13"/>
  <c r="V133" i="13"/>
  <c r="V85" i="13"/>
  <c r="V71" i="13"/>
  <c r="V205" i="13"/>
  <c r="V201" i="13"/>
  <c r="V181" i="13"/>
  <c r="V113" i="13"/>
  <c r="V124" i="13"/>
  <c r="V139" i="13"/>
  <c r="V32" i="13"/>
  <c r="V161" i="13"/>
  <c r="V73" i="13"/>
  <c r="V219" i="13"/>
  <c r="V134" i="13"/>
  <c r="V147" i="13"/>
  <c r="V33" i="13"/>
  <c r="V60" i="13"/>
  <c r="V48" i="13"/>
  <c r="V212" i="13"/>
  <c r="V154" i="13"/>
  <c r="V108" i="13"/>
  <c r="V123" i="13"/>
  <c r="V198" i="13"/>
  <c r="V170" i="13"/>
  <c r="V76" i="13"/>
  <c r="V189" i="13"/>
  <c r="V162" i="13"/>
  <c r="V62" i="13"/>
  <c r="V9" i="13"/>
  <c r="V11" i="13"/>
  <c r="V199" i="13"/>
  <c r="V31" i="13"/>
  <c r="V67" i="13"/>
  <c r="V69" i="13"/>
  <c r="V191" i="13"/>
  <c r="V52" i="13"/>
  <c r="V79" i="13"/>
  <c r="V103" i="13"/>
  <c r="V100" i="13"/>
  <c r="V187" i="13"/>
  <c r="V155" i="13"/>
  <c r="V216" i="13"/>
  <c r="V53" i="13"/>
  <c r="V93" i="13"/>
  <c r="V132" i="13"/>
  <c r="V141" i="13"/>
  <c r="V95" i="13"/>
  <c r="V151" i="13"/>
  <c r="V96" i="13"/>
  <c r="V38" i="13"/>
  <c r="V66" i="13"/>
  <c r="V145" i="13"/>
  <c r="V126" i="13"/>
  <c r="V188" i="13"/>
  <c r="V227" i="13"/>
  <c r="V83" i="13"/>
  <c r="V72" i="13"/>
  <c r="V78" i="13"/>
  <c r="V106" i="13"/>
  <c r="V101" i="13"/>
  <c r="V156" i="13"/>
  <c r="V42" i="13"/>
  <c r="V209" i="13"/>
  <c r="V159" i="13"/>
  <c r="V104" i="13"/>
  <c r="V70" i="13"/>
  <c r="V202" i="13"/>
  <c r="V28" i="13"/>
  <c r="V184" i="13"/>
  <c r="V203" i="13"/>
  <c r="V143" i="13"/>
  <c r="V194" i="13"/>
  <c r="V208" i="13"/>
  <c r="V88" i="13"/>
  <c r="V175" i="13"/>
  <c r="V87" i="13"/>
  <c r="V142" i="13"/>
  <c r="V190" i="13"/>
  <c r="V218" i="13"/>
  <c r="V157" i="13"/>
  <c r="V206" i="13"/>
  <c r="V152" i="13"/>
  <c r="V47" i="13"/>
  <c r="V122" i="13"/>
  <c r="V105" i="13"/>
  <c r="V22" i="13"/>
  <c r="V130" i="13"/>
  <c r="V12" i="13"/>
  <c r="V185" i="13"/>
  <c r="V86" i="13"/>
  <c r="V196" i="13"/>
  <c r="V171" i="13"/>
  <c r="V35" i="13"/>
  <c r="V75" i="13"/>
  <c r="V40" i="13"/>
  <c r="V81" i="13"/>
  <c r="V158" i="13"/>
  <c r="V129" i="13"/>
  <c r="V115" i="13"/>
  <c r="V177" i="13"/>
  <c r="V82" i="13"/>
  <c r="V102" i="13"/>
  <c r="V56" i="13"/>
  <c r="V163" i="13"/>
  <c r="V173" i="13"/>
  <c r="V61" i="13"/>
  <c r="V34" i="13"/>
  <c r="V16" i="13"/>
  <c r="V91" i="13"/>
  <c r="V27" i="13"/>
  <c r="V41" i="13"/>
  <c r="V65" i="13"/>
  <c r="V214" i="13"/>
  <c r="V165" i="13"/>
  <c r="V10" i="13"/>
  <c r="V186" i="13"/>
  <c r="V200" i="13"/>
  <c r="V166" i="13"/>
  <c r="V211" i="13"/>
  <c r="V97" i="13"/>
  <c r="V222" i="13"/>
  <c r="V110" i="13"/>
  <c r="V204" i="13"/>
  <c r="V111" i="13"/>
  <c r="V17" i="13"/>
  <c r="V13" i="13"/>
  <c r="V213" i="13"/>
  <c r="V118" i="13"/>
  <c r="V127" i="13"/>
  <c r="V109" i="13"/>
  <c r="V24" i="13"/>
  <c r="V197" i="13"/>
  <c r="V51" i="13"/>
  <c r="V94" i="13"/>
  <c r="V160" i="13"/>
  <c r="V210" i="13"/>
  <c r="V125" i="13"/>
  <c r="V215" i="13"/>
  <c r="V117" i="13"/>
  <c r="V36" i="13"/>
  <c r="V172" i="13"/>
  <c r="V223" i="13"/>
  <c r="V225" i="13"/>
  <c r="V135" i="13"/>
  <c r="V64" i="13"/>
  <c r="V112" i="13"/>
  <c r="V119" i="13"/>
  <c r="V29" i="13"/>
  <c r="V164" i="13"/>
  <c r="V43" i="13"/>
  <c r="V131" i="13"/>
  <c r="V57" i="13"/>
  <c r="V140" i="13"/>
  <c r="V59" i="13"/>
  <c r="V168" i="13"/>
  <c r="V183" i="13"/>
  <c r="V63" i="13"/>
  <c r="V176" i="13"/>
  <c r="V50" i="13"/>
  <c r="V179" i="13"/>
  <c r="V120" i="13"/>
  <c r="V23" i="13"/>
  <c r="V84" i="13"/>
  <c r="V144" i="13"/>
  <c r="V217" i="13"/>
  <c r="V25" i="13"/>
  <c r="V18" i="13"/>
  <c r="V180" i="13"/>
  <c r="V220" i="13"/>
  <c r="V37" i="13"/>
  <c r="V153" i="13"/>
  <c r="V90" i="13"/>
  <c r="V74" i="13"/>
  <c r="V116" i="13"/>
  <c r="V92" i="13"/>
  <c r="V77" i="13"/>
  <c r="V207" i="13"/>
  <c r="V46" i="13"/>
  <c r="V98" i="13"/>
  <c r="V150" i="13"/>
  <c r="V58" i="13"/>
  <c r="V136" i="13"/>
  <c r="V68" i="13"/>
  <c r="V107" i="13"/>
  <c r="V137" i="13"/>
  <c r="V89" i="13"/>
  <c r="V224" i="13"/>
  <c r="V149" i="13"/>
  <c r="V193" i="13"/>
  <c r="V114" i="13"/>
  <c r="V195" i="13"/>
  <c r="V226" i="13"/>
  <c r="AB165" i="13"/>
  <c r="AB220" i="13"/>
  <c r="AB17" i="13"/>
  <c r="AB207" i="13"/>
  <c r="AB178" i="13"/>
  <c r="AB59" i="13"/>
  <c r="AB53" i="13"/>
  <c r="AB127" i="13"/>
  <c r="AB57" i="13"/>
  <c r="AB75" i="13"/>
  <c r="AB205" i="13"/>
  <c r="AB120" i="13"/>
  <c r="AB143" i="13"/>
  <c r="AB19" i="13"/>
  <c r="AB76" i="13"/>
  <c r="AB56" i="13"/>
  <c r="AB33" i="13"/>
  <c r="AB221" i="13"/>
  <c r="AB96" i="13"/>
  <c r="P180" i="13"/>
  <c r="P41" i="13"/>
  <c r="P43" i="13"/>
  <c r="P10" i="13"/>
  <c r="P55" i="13"/>
  <c r="P95" i="13"/>
  <c r="P94" i="13"/>
  <c r="P192" i="13"/>
  <c r="P145" i="13"/>
  <c r="P226" i="13"/>
  <c r="P32" i="13"/>
  <c r="P81" i="13"/>
  <c r="P26" i="13"/>
  <c r="P29" i="13"/>
  <c r="P215" i="13"/>
  <c r="P50" i="13"/>
  <c r="P177" i="13"/>
  <c r="P133" i="13"/>
  <c r="P16" i="13"/>
  <c r="P127" i="13"/>
  <c r="P201" i="13"/>
  <c r="P151" i="13"/>
  <c r="P130" i="13"/>
  <c r="P203" i="13"/>
  <c r="P211" i="13"/>
  <c r="P13" i="13"/>
  <c r="P57" i="13"/>
  <c r="P14" i="13"/>
  <c r="P9" i="13"/>
  <c r="P107" i="13"/>
  <c r="P22" i="13"/>
  <c r="P72" i="13"/>
  <c r="P212" i="13"/>
  <c r="P187" i="13"/>
  <c r="P217" i="13"/>
  <c r="P40" i="13"/>
  <c r="P225" i="13"/>
  <c r="P135" i="13"/>
  <c r="P80" i="13"/>
  <c r="P20" i="13"/>
  <c r="P205" i="13"/>
  <c r="P35" i="13"/>
  <c r="P181" i="13"/>
  <c r="P84" i="13"/>
  <c r="P182" i="13"/>
  <c r="P150" i="13"/>
  <c r="P51" i="13"/>
  <c r="P131" i="13"/>
  <c r="P48" i="13"/>
  <c r="P12" i="13"/>
  <c r="P156" i="13"/>
  <c r="P158" i="13"/>
  <c r="P33" i="13"/>
  <c r="P134" i="13"/>
  <c r="P193" i="13"/>
  <c r="P73" i="13"/>
  <c r="P62" i="13"/>
  <c r="P25" i="13"/>
  <c r="P176" i="13"/>
  <c r="P59" i="13"/>
  <c r="P136" i="13"/>
  <c r="P165" i="13"/>
  <c r="P44" i="13"/>
  <c r="P222" i="13"/>
  <c r="P198" i="13"/>
  <c r="P90" i="13"/>
  <c r="P93" i="13"/>
  <c r="P159" i="13"/>
  <c r="P69" i="13"/>
  <c r="P124" i="13"/>
  <c r="P28" i="13"/>
  <c r="P194" i="13"/>
  <c r="P83" i="13"/>
  <c r="P27" i="13"/>
  <c r="P37" i="13"/>
  <c r="P185" i="13"/>
  <c r="P188" i="13"/>
  <c r="P171" i="13"/>
  <c r="P45" i="13"/>
  <c r="P82" i="13"/>
  <c r="P118" i="13"/>
  <c r="P17" i="13"/>
  <c r="P39" i="13"/>
  <c r="P141" i="13"/>
  <c r="P92" i="13"/>
  <c r="P218" i="13"/>
  <c r="P210" i="13"/>
  <c r="P189" i="13"/>
  <c r="P117" i="13"/>
  <c r="P105" i="13"/>
  <c r="P122" i="13"/>
  <c r="P24" i="13"/>
  <c r="P216" i="13"/>
  <c r="P155" i="13"/>
  <c r="P53" i="13"/>
  <c r="P144" i="13"/>
  <c r="P121" i="13"/>
  <c r="P31" i="13"/>
  <c r="P74" i="13"/>
  <c r="P143" i="13"/>
  <c r="P209" i="13"/>
  <c r="P56" i="13"/>
  <c r="P202" i="13"/>
  <c r="P186" i="13"/>
  <c r="P15" i="13"/>
  <c r="P64" i="13"/>
  <c r="P161" i="13"/>
  <c r="P119" i="13"/>
  <c r="P75" i="13"/>
  <c r="P221" i="13"/>
  <c r="P160" i="13"/>
  <c r="P96" i="13"/>
  <c r="P97" i="13"/>
  <c r="P70" i="13"/>
  <c r="V138" i="13"/>
  <c r="V174" i="13"/>
  <c r="V19" i="13"/>
  <c r="V128" i="13"/>
  <c r="V30" i="13"/>
  <c r="V178" i="13"/>
  <c r="V121" i="13"/>
  <c r="V20" i="13"/>
  <c r="V221" i="13"/>
  <c r="V146" i="13"/>
  <c r="V21" i="13"/>
  <c r="P196" i="13"/>
  <c r="P49" i="13"/>
  <c r="P183" i="13"/>
  <c r="P110" i="13"/>
  <c r="P200" i="13"/>
  <c r="P61" i="13"/>
  <c r="P125" i="13"/>
  <c r="P98" i="13"/>
  <c r="P149" i="13"/>
  <c r="P167" i="13"/>
  <c r="P67" i="13"/>
  <c r="P76" i="13"/>
  <c r="P191" i="13"/>
  <c r="P112" i="13"/>
  <c r="P139" i="13"/>
  <c r="AB27" i="13"/>
  <c r="AB171" i="13"/>
  <c r="AB95" i="13"/>
  <c r="AB170" i="13"/>
  <c r="AB186" i="13"/>
  <c r="AB73" i="13"/>
  <c r="AB103" i="13"/>
  <c r="AB196" i="13"/>
  <c r="AB114" i="13"/>
  <c r="AB154" i="13"/>
  <c r="AB105" i="13"/>
  <c r="AB177" i="13"/>
  <c r="AB72" i="13"/>
  <c r="AB187" i="13"/>
  <c r="P77" i="13"/>
  <c r="P219" i="13"/>
  <c r="P78" i="13"/>
  <c r="P46" i="13"/>
  <c r="P116" i="13"/>
  <c r="P34" i="13"/>
  <c r="P30" i="13"/>
  <c r="P172" i="13"/>
  <c r="P227" i="13"/>
  <c r="P120" i="13"/>
  <c r="P91" i="13"/>
  <c r="P86" i="13"/>
  <c r="P207" i="13"/>
  <c r="P153" i="13"/>
  <c r="P208" i="13"/>
  <c r="P66" i="13"/>
  <c r="AB64" i="13"/>
  <c r="AB34" i="13"/>
  <c r="AB92" i="13"/>
  <c r="AB36" i="13"/>
  <c r="AB142" i="13"/>
  <c r="AB100" i="13"/>
  <c r="AB78" i="13"/>
  <c r="P142" i="13"/>
  <c r="P154" i="13"/>
  <c r="P100" i="13"/>
  <c r="P213" i="13"/>
  <c r="P174" i="13"/>
  <c r="P101" i="13"/>
  <c r="P223" i="13"/>
  <c r="P109" i="13"/>
  <c r="P19" i="13"/>
  <c r="P163" i="13"/>
  <c r="P148" i="13"/>
  <c r="P23" i="13"/>
  <c r="P190" i="13"/>
  <c r="P175" i="13"/>
  <c r="P111" i="13"/>
  <c r="P152" i="13"/>
  <c r="AB40" i="13"/>
  <c r="AB224" i="13"/>
  <c r="AB212" i="13"/>
  <c r="AB189" i="13"/>
  <c r="AB195" i="13"/>
  <c r="AB213" i="13"/>
  <c r="AB11" i="13"/>
  <c r="P157" i="13"/>
  <c r="P36" i="13"/>
  <c r="P197" i="13"/>
  <c r="P204" i="13"/>
  <c r="P65" i="13"/>
  <c r="P99" i="13"/>
  <c r="P115" i="13"/>
  <c r="P18" i="13"/>
  <c r="P63" i="13"/>
  <c r="P173" i="13"/>
  <c r="P164" i="13"/>
  <c r="P52" i="13"/>
  <c r="P108" i="13"/>
  <c r="P79" i="13"/>
  <c r="P89" i="13"/>
  <c r="P168" i="13"/>
  <c r="P179" i="13"/>
  <c r="AB202" i="13"/>
  <c r="AB62" i="13"/>
  <c r="AB136" i="13"/>
  <c r="AB70" i="13"/>
  <c r="AB126" i="13"/>
  <c r="AB167" i="13"/>
  <c r="P220" i="13"/>
  <c r="P114" i="13"/>
  <c r="P138" i="13"/>
  <c r="P178" i="13"/>
  <c r="P137" i="13"/>
  <c r="P106" i="13"/>
  <c r="P47" i="13"/>
  <c r="P170" i="13"/>
  <c r="P129" i="13"/>
  <c r="P162" i="13"/>
  <c r="P103" i="13"/>
  <c r="P11" i="13"/>
  <c r="P85" i="13"/>
  <c r="P166" i="13"/>
  <c r="P206" i="13"/>
  <c r="P54" i="13"/>
  <c r="P38" i="13"/>
  <c r="P87" i="13"/>
  <c r="P214" i="13"/>
  <c r="P146" i="13"/>
  <c r="P58" i="13"/>
  <c r="AB113" i="13"/>
  <c r="AB65" i="13"/>
  <c r="AB160" i="13"/>
  <c r="AB124" i="13"/>
  <c r="AB206" i="13"/>
  <c r="AB197" i="13"/>
  <c r="AB97" i="13"/>
  <c r="AB166" i="13"/>
  <c r="AB71" i="13"/>
  <c r="AB63" i="13"/>
  <c r="AB138" i="13"/>
  <c r="AB174" i="13"/>
  <c r="P71" i="13"/>
  <c r="P140" i="13"/>
  <c r="P104" i="13"/>
  <c r="P123" i="13"/>
  <c r="P128" i="13"/>
  <c r="P60" i="13"/>
  <c r="P126" i="13"/>
  <c r="P199" i="13"/>
  <c r="P88" i="13"/>
  <c r="P42" i="13"/>
  <c r="P184" i="13"/>
  <c r="P195" i="13"/>
  <c r="P68" i="13"/>
  <c r="P147" i="13"/>
  <c r="P169" i="13"/>
  <c r="P21" i="13"/>
  <c r="P102" i="13"/>
  <c r="P224" i="13"/>
  <c r="P132" i="13"/>
  <c r="P113" i="13"/>
  <c r="AB131" i="13"/>
  <c r="AB67" i="13"/>
  <c r="AB156" i="13"/>
  <c r="AB10" i="13"/>
  <c r="AB199" i="13"/>
  <c r="AB169" i="13"/>
  <c r="AB106" i="13"/>
  <c r="AB116" i="13"/>
  <c r="AB58" i="13"/>
  <c r="AB122" i="13"/>
  <c r="AB162" i="13"/>
  <c r="AB26" i="13"/>
  <c r="AB208" i="13"/>
  <c r="AB77" i="13"/>
  <c r="AB163" i="13"/>
  <c r="AB39" i="13"/>
  <c r="AB81" i="13"/>
  <c r="AB210" i="13"/>
  <c r="AB42" i="13"/>
  <c r="AB109" i="13"/>
  <c r="AB200" i="13"/>
  <c r="AB69" i="13"/>
  <c r="AB226" i="13"/>
  <c r="AB145" i="13"/>
  <c r="AB38" i="13"/>
  <c r="AB44" i="13"/>
  <c r="AB107" i="13"/>
  <c r="AB41" i="13"/>
  <c r="AB25" i="13"/>
  <c r="AB84" i="13"/>
  <c r="AB102" i="13"/>
  <c r="AB87" i="13"/>
  <c r="AB99" i="13"/>
  <c r="AB30" i="13"/>
  <c r="AB133" i="13"/>
  <c r="AB209" i="13"/>
  <c r="AB52" i="13"/>
  <c r="AB175" i="13"/>
  <c r="AB225" i="13"/>
  <c r="AB192" i="13"/>
  <c r="AB119" i="13"/>
  <c r="AB21" i="13"/>
  <c r="AB130" i="13"/>
  <c r="AB85" i="13"/>
  <c r="AB61" i="13"/>
  <c r="AB51" i="13"/>
  <c r="AB134" i="13"/>
  <c r="AB112" i="13"/>
  <c r="AB88" i="13"/>
  <c r="AB83" i="13"/>
  <c r="AB129" i="13"/>
  <c r="AB141" i="13"/>
  <c r="AB214" i="13"/>
  <c r="AB29" i="13"/>
  <c r="AB164" i="13"/>
  <c r="AB203" i="13"/>
  <c r="AB191" i="13"/>
  <c r="AB193" i="13"/>
  <c r="AB173" i="13"/>
  <c r="AB45" i="13"/>
  <c r="AB49" i="13"/>
  <c r="AB86" i="13"/>
  <c r="AB227" i="13"/>
  <c r="AB172" i="13"/>
  <c r="AB48" i="13"/>
  <c r="AB146" i="13"/>
  <c r="AB54" i="13"/>
  <c r="AB182" i="13"/>
  <c r="AB91" i="13"/>
  <c r="AB140" i="13"/>
  <c r="AB159" i="13"/>
  <c r="AB101" i="13"/>
  <c r="AB147" i="13"/>
  <c r="AB46" i="13"/>
  <c r="AB188" i="13"/>
  <c r="AB68" i="13"/>
  <c r="AB104" i="13"/>
  <c r="AB184" i="13"/>
  <c r="AB135" i="13"/>
  <c r="AB128" i="13"/>
  <c r="AB157" i="13"/>
  <c r="AB151" i="13"/>
  <c r="AB32" i="13"/>
  <c r="AB74" i="13"/>
  <c r="AB66" i="13"/>
  <c r="AB37" i="13"/>
  <c r="AB23" i="13"/>
  <c r="AB222" i="13"/>
  <c r="AB98" i="13"/>
  <c r="AB216" i="13"/>
  <c r="AB149" i="13"/>
  <c r="AB217" i="13"/>
  <c r="AB108" i="13"/>
  <c r="AB137" i="13"/>
  <c r="AB22" i="13"/>
  <c r="AB55" i="13"/>
  <c r="AB204" i="13"/>
  <c r="AB121" i="13"/>
  <c r="AB161" i="13"/>
  <c r="AB185" i="13"/>
  <c r="AB14" i="13"/>
  <c r="AB115" i="13"/>
  <c r="AB218" i="13"/>
  <c r="AB198" i="13"/>
  <c r="AB179" i="13"/>
  <c r="AB60" i="13"/>
  <c r="AB82" i="13"/>
  <c r="AB90" i="13"/>
  <c r="AB183" i="13"/>
  <c r="AB12" i="13"/>
  <c r="AB190" i="13"/>
  <c r="AB123" i="13"/>
  <c r="AB223" i="13"/>
  <c r="AB118" i="13"/>
  <c r="AB215" i="13"/>
  <c r="AB168" i="13"/>
  <c r="AB31" i="13"/>
  <c r="AB20" i="13"/>
  <c r="AB176" i="13"/>
  <c r="AB152" i="13"/>
  <c r="AB117" i="13"/>
  <c r="AB16" i="13"/>
  <c r="AB111" i="13"/>
  <c r="AB158" i="13"/>
  <c r="AB132" i="13"/>
  <c r="AB219" i="13"/>
  <c r="AB18" i="13"/>
  <c r="AB194" i="13"/>
  <c r="AB80" i="13"/>
  <c r="AB144" i="13"/>
  <c r="AB47" i="13"/>
  <c r="AB180" i="13"/>
  <c r="AB35" i="13"/>
  <c r="AB24" i="13"/>
  <c r="AB139" i="13"/>
  <c r="AB79" i="13"/>
  <c r="AB28" i="13"/>
  <c r="AB201" i="13"/>
  <c r="AB150" i="13"/>
  <c r="AB43" i="13"/>
  <c r="AB110" i="13"/>
  <c r="AB153" i="13"/>
  <c r="AB148" i="13"/>
  <c r="AB15" i="13"/>
  <c r="AB93" i="13"/>
  <c r="AB89" i="13"/>
  <c r="AB9" i="13"/>
  <c r="AB50" i="13"/>
  <c r="AB13" i="13"/>
  <c r="AB181" i="13"/>
  <c r="AB94" i="13"/>
  <c r="AB211" i="13"/>
  <c r="AB125" i="13"/>
  <c r="AB155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 satisfied Microsoft Office user</author>
  </authors>
  <commentList>
    <comment ref="A1" authorId="0" shapeId="0" xr:uid="{C53FF8DD-63A0-4A91-8111-74A2B2831417}">
      <text>
        <r>
          <rPr>
            <sz val="8"/>
            <color indexed="81"/>
            <rFont val="Tahoma"/>
            <family val="2"/>
          </rPr>
          <t>DM_4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 satisfied Microsoft Office user</author>
  </authors>
  <commentList>
    <comment ref="A1" authorId="0" shapeId="0" xr:uid="{BFBFD198-A271-4E9D-A853-3698E5B9CC71}">
      <text>
        <r>
          <rPr>
            <sz val="8"/>
            <color indexed="81"/>
            <rFont val="Tahoma"/>
            <family val="2"/>
          </rPr>
          <t>SM_4</t>
        </r>
      </text>
    </comment>
  </commentList>
</comments>
</file>

<file path=xl/sharedStrings.xml><?xml version="1.0" encoding="utf-8"?>
<sst xmlns="http://schemas.openxmlformats.org/spreadsheetml/2006/main" count="1010" uniqueCount="494">
  <si>
    <t>lot</t>
  </si>
  <si>
    <t>ontwerp</t>
  </si>
  <si>
    <t>bouwheer</t>
  </si>
  <si>
    <t>dossier</t>
  </si>
  <si>
    <t>00.</t>
  </si>
  <si>
    <t>ALGEMENE BEPALINGEN</t>
  </si>
  <si>
    <t>00.10.</t>
  </si>
  <si>
    <t>projectgegevens</t>
  </si>
  <si>
    <t>00.20.</t>
  </si>
  <si>
    <t>ontwerpteam</t>
  </si>
  <si>
    <t>00.21.</t>
  </si>
  <si>
    <t>ontwerper</t>
  </si>
  <si>
    <t>00.24.</t>
  </si>
  <si>
    <t>ontwerpteam - veiligheidscoördinatie</t>
  </si>
  <si>
    <t>00.25.</t>
  </si>
  <si>
    <t>ontwerpteam – EPB verslaggeving</t>
  </si>
  <si>
    <t>00.30.</t>
  </si>
  <si>
    <t>documenten</t>
  </si>
  <si>
    <t>00.31.</t>
  </si>
  <si>
    <t>documenten - architectuur</t>
  </si>
  <si>
    <t>00.32.</t>
  </si>
  <si>
    <t>documenten - stabiliteit</t>
  </si>
  <si>
    <t>00.33.</t>
  </si>
  <si>
    <t>documenten - technieken</t>
  </si>
  <si>
    <t>00.34.</t>
  </si>
  <si>
    <t>documenten - veiligheidsoördinatie</t>
  </si>
  <si>
    <t>00.35.</t>
  </si>
  <si>
    <t>documenten – EPB verslaggeving</t>
  </si>
  <si>
    <t>01.</t>
  </si>
  <si>
    <t>AANNEMINGSMODALITEITEN</t>
  </si>
  <si>
    <t>01.00.</t>
  </si>
  <si>
    <t>aannemingsmodaliteiten - algemeen</t>
  </si>
  <si>
    <t>01.01.</t>
  </si>
  <si>
    <t xml:space="preserve">aannemingsmodaliteiten – bestek </t>
  </si>
  <si>
    <t>01.02.</t>
  </si>
  <si>
    <t xml:space="preserve">aannemingsmodaliteiten – voorafgaand plaatsbezoek </t>
  </si>
  <si>
    <t>01.03.</t>
  </si>
  <si>
    <t xml:space="preserve">aannemingsmodaliteiten – burgerlijke aansprakelijkheid </t>
  </si>
  <si>
    <t>01.04.</t>
  </si>
  <si>
    <t xml:space="preserve">aannemingsmodaliteiten – volledigheid van inschrijving </t>
  </si>
  <si>
    <t>01.05.</t>
  </si>
  <si>
    <t xml:space="preserve">aannemingsmodaliteiten – onderaanneming </t>
  </si>
  <si>
    <t>01.06.</t>
  </si>
  <si>
    <t xml:space="preserve">aannemingsmodaliteiten – verrekeningen </t>
  </si>
  <si>
    <t>01.07.</t>
  </si>
  <si>
    <t xml:space="preserve">aannemingsmodaliteiten – keuringsattesten </t>
  </si>
  <si>
    <t>01.08.</t>
  </si>
  <si>
    <t xml:space="preserve">aannemingsmodaliteiten – materialenlijst </t>
  </si>
  <si>
    <t>01.20.</t>
  </si>
  <si>
    <t>werfcoördinatie – algemeen</t>
  </si>
  <si>
    <t>01.21.</t>
  </si>
  <si>
    <t xml:space="preserve">werfcoördinatie – planning van de werken </t>
  </si>
  <si>
    <t>01.23.</t>
  </si>
  <si>
    <t xml:space="preserve">werfcoördinatie – werfvergaderingen </t>
  </si>
  <si>
    <t>01.25.</t>
  </si>
  <si>
    <t xml:space="preserve">werfcoördinatie – as-builtdossier </t>
  </si>
  <si>
    <t>01.30.</t>
  </si>
  <si>
    <t>werfcondities – algemeen</t>
  </si>
  <si>
    <t>01.31.</t>
  </si>
  <si>
    <t xml:space="preserve">werfcondities – orde en netheid </t>
  </si>
  <si>
    <t>01.32.</t>
  </si>
  <si>
    <t xml:space="preserve">werfcondities – geluids- en stofhinder </t>
  </si>
  <si>
    <t>01.33.</t>
  </si>
  <si>
    <t xml:space="preserve">werfcondities – nazorg </t>
  </si>
  <si>
    <t>01.40.</t>
  </si>
  <si>
    <t xml:space="preserve">veiligheidsvoorschriften – algemeen </t>
  </si>
  <si>
    <t>02.</t>
  </si>
  <si>
    <t>BOUWPLAATSVOORZIENINGEN</t>
  </si>
  <si>
    <t>02.00.</t>
  </si>
  <si>
    <t>bouwplaatsvoorzieningen - algemeen</t>
  </si>
  <si>
    <t>omschrijving</t>
  </si>
  <si>
    <t>aantal</t>
  </si>
  <si>
    <t>totaal</t>
  </si>
  <si>
    <t>stuks</t>
  </si>
  <si>
    <t>Totaal</t>
  </si>
  <si>
    <t>FH</t>
  </si>
  <si>
    <t>st</t>
  </si>
  <si>
    <t>02.80.</t>
  </si>
  <si>
    <t>arbeidsmiddelen – algemeen</t>
  </si>
  <si>
    <t>02.81.</t>
  </si>
  <si>
    <t>arbeidsmiddelen – werken op hoogte</t>
  </si>
  <si>
    <t>04.</t>
  </si>
  <si>
    <t>GEBOUWPRESTATIES</t>
  </si>
  <si>
    <t>04.00.</t>
  </si>
  <si>
    <t>gebouwprestaties - algemeen</t>
  </si>
  <si>
    <t>04.10.</t>
  </si>
  <si>
    <t xml:space="preserve">energieprestatie en binnenklimaat (EPB) – algemeen </t>
  </si>
  <si>
    <t>04.40.</t>
  </si>
  <si>
    <t xml:space="preserve">brandveiligheid - algemeen </t>
  </si>
  <si>
    <t>lengte</t>
  </si>
  <si>
    <t>EP-</t>
  </si>
  <si>
    <t>m</t>
  </si>
  <si>
    <t>60.</t>
  </si>
  <si>
    <t>SANITAIR LEIDINGNET</t>
  </si>
  <si>
    <t>60.00.</t>
  </si>
  <si>
    <t>sanitair leidingnet - algemeen</t>
  </si>
  <si>
    <t>60.10.</t>
  </si>
  <si>
    <t>afvoerbuizen - algemeen</t>
  </si>
  <si>
    <t>60.12.</t>
  </si>
  <si>
    <t>60.20.</t>
  </si>
  <si>
    <t>verluchtingsbuizen - algemeen</t>
  </si>
  <si>
    <t>60.22.</t>
  </si>
  <si>
    <t xml:space="preserve">verluchtingsbuizen - PE </t>
  </si>
  <si>
    <t>60.30.</t>
  </si>
  <si>
    <t>klokroosters - intern - algemeen</t>
  </si>
  <si>
    <t>60.33.</t>
  </si>
  <si>
    <t xml:space="preserve">klokroosters - roestvast staal (RVS) </t>
  </si>
  <si>
    <t>60.50.</t>
  </si>
  <si>
    <t>sanitaire drukleidingen - algemeen</t>
  </si>
  <si>
    <t>60.51.</t>
  </si>
  <si>
    <t>sanitaire drukleidingen - buizen</t>
  </si>
  <si>
    <t>60.52.</t>
  </si>
  <si>
    <t xml:space="preserve">sanitaire drukleidingen - collectoren </t>
  </si>
  <si>
    <t>60.53.</t>
  </si>
  <si>
    <t>60.60.</t>
  </si>
  <si>
    <t>aansluiting leidingnet - algemeen</t>
  </si>
  <si>
    <t>60.61.</t>
  </si>
  <si>
    <t xml:space="preserve">aansluiting leidingnet - reglementaire meterstraat </t>
  </si>
  <si>
    <t>60.62.</t>
  </si>
  <si>
    <t>60.63.</t>
  </si>
  <si>
    <t xml:space="preserve">aansluiting leidingnet – waterfilters </t>
  </si>
  <si>
    <t>61.</t>
  </si>
  <si>
    <t>SANITAIRE TOESTELLEN &amp; TOEBEHOREN</t>
  </si>
  <si>
    <t>61.00.</t>
  </si>
  <si>
    <t>sanitaire toestellen en toebehoren - algemeen</t>
  </si>
  <si>
    <t>61.10.</t>
  </si>
  <si>
    <t>toiletpotten en toebehoren - algemeen</t>
  </si>
  <si>
    <t>61.12.</t>
  </si>
  <si>
    <t>toiletpotten en toebehoren - hangend</t>
  </si>
  <si>
    <t>61.20.</t>
  </si>
  <si>
    <t>handwastafels en toebehoren - algemeen</t>
  </si>
  <si>
    <t>61.21.</t>
  </si>
  <si>
    <t>handwastafels &amp; toebehoren - wandmodel</t>
  </si>
  <si>
    <t>61.30.</t>
  </si>
  <si>
    <t>wastafels en toebehoren - algemeen</t>
  </si>
  <si>
    <t>61.32.</t>
  </si>
  <si>
    <t>61.60.</t>
  </si>
  <si>
    <t>speciale toebehoren - algemeen</t>
  </si>
  <si>
    <t>61.63.</t>
  </si>
  <si>
    <t>speciale toebehoren - muurhandgrepen</t>
  </si>
  <si>
    <t>61.70.</t>
  </si>
  <si>
    <t>afwastafels - algemeen</t>
  </si>
  <si>
    <t>61.72.</t>
  </si>
  <si>
    <t>afwastafels - inbouwmodel</t>
  </si>
  <si>
    <t>61.80.</t>
  </si>
  <si>
    <t>uitgietbakken - algemeen</t>
  </si>
  <si>
    <t>61.81.</t>
  </si>
  <si>
    <t xml:space="preserve">uitgietbakken - sanitair porselein </t>
  </si>
  <si>
    <t>62.</t>
  </si>
  <si>
    <t>SANITAIRE KRANEN &amp; KLEPPEN</t>
  </si>
  <si>
    <t>62.00.</t>
  </si>
  <si>
    <t>sanitaire kranen - kleppen - algemeen</t>
  </si>
  <si>
    <t>62.10.</t>
  </si>
  <si>
    <t>terugslagkleppen - algemeen</t>
  </si>
  <si>
    <t>62.11.</t>
  </si>
  <si>
    <t xml:space="preserve">terugslagkleppen - messing </t>
  </si>
  <si>
    <t>62.20.</t>
  </si>
  <si>
    <t>installatieafsluitkranen - algemeen</t>
  </si>
  <si>
    <t>62.21.</t>
  </si>
  <si>
    <t>installatieafsluitkranen – messing</t>
  </si>
  <si>
    <t>62.30.</t>
  </si>
  <si>
    <t>wandafsluitkranen - algemeen</t>
  </si>
  <si>
    <t>62.31.</t>
  </si>
  <si>
    <t xml:space="preserve">wandafsluitkranen - enkelvoudige stopkraan </t>
  </si>
  <si>
    <t>62.32.</t>
  </si>
  <si>
    <t xml:space="preserve">wandafsluitkranen - stopkraan met dienstkraan </t>
  </si>
  <si>
    <t>62.40.</t>
  </si>
  <si>
    <t>dienstkranen - algemeen</t>
  </si>
  <si>
    <t>62.42.</t>
  </si>
  <si>
    <t>dienstkranen - dubbele dienstkraan</t>
  </si>
  <si>
    <t>62.50.</t>
  </si>
  <si>
    <t>ééngatskranen - algemeen</t>
  </si>
  <si>
    <t>62.51.</t>
  </si>
  <si>
    <t xml:space="preserve">ééngatskranen – handwastafelkraan koudwater zelfsluitend met drukknop </t>
  </si>
  <si>
    <t>62.52.</t>
  </si>
  <si>
    <t xml:space="preserve">ééngatskranen – handwastafelkraan mengkraan zelfsluitend met drukknop </t>
  </si>
  <si>
    <t>62.53.</t>
  </si>
  <si>
    <t>62.60.</t>
  </si>
  <si>
    <t>muurmengkranen - algemeen</t>
  </si>
  <si>
    <t>62.62.</t>
  </si>
  <si>
    <t>62.63.</t>
  </si>
  <si>
    <t>muurmengkranen – douchemengkraan/armatuur inbouw</t>
  </si>
  <si>
    <t>62.70.</t>
  </si>
  <si>
    <t>regenwaterpompen - algemeen</t>
  </si>
  <si>
    <t>62.71.</t>
  </si>
  <si>
    <t xml:space="preserve">regenwaterpompen – zelfaanzuigende hydrofoorgroep met automatische bijvulling </t>
  </si>
  <si>
    <t>64.</t>
  </si>
  <si>
    <t>GASINSTALLATIES</t>
  </si>
  <si>
    <t>64.00.</t>
  </si>
  <si>
    <t>gasinstallaties - algemeen</t>
  </si>
  <si>
    <t>64.10.</t>
  </si>
  <si>
    <t>gasleidingen - algemeen</t>
  </si>
  <si>
    <t>64.11.</t>
  </si>
  <si>
    <t xml:space="preserve">gasleidingen - staal </t>
  </si>
  <si>
    <t>64.13.</t>
  </si>
  <si>
    <t xml:space="preserve">gasleidingen - PE </t>
  </si>
  <si>
    <t>64.20.</t>
  </si>
  <si>
    <t>gaskranen - algemeen</t>
  </si>
  <si>
    <t>64.21.</t>
  </si>
  <si>
    <t xml:space="preserve">gaskranen - gasfilter </t>
  </si>
  <si>
    <t>64.22.</t>
  </si>
  <si>
    <t xml:space="preserve">gaskranen - afsluitkranen </t>
  </si>
  <si>
    <t>64.40.</t>
  </si>
  <si>
    <t xml:space="preserve">gastoestellen – algemeen </t>
  </si>
  <si>
    <t>65.</t>
  </si>
  <si>
    <t>VERWARMING INDIVIDUELE INSTALLATIES</t>
  </si>
  <si>
    <t>65.00.</t>
  </si>
  <si>
    <t>verwarming individuele installaties - algemeen</t>
  </si>
  <si>
    <t>65.02.</t>
  </si>
  <si>
    <t xml:space="preserve">verwarming individuele installaties – grenzen van de aanneming </t>
  </si>
  <si>
    <t>65.20.</t>
  </si>
  <si>
    <t>gaswandketels - algemeen</t>
  </si>
  <si>
    <t>65.21.</t>
  </si>
  <si>
    <t>gaswandketels - gesloten</t>
  </si>
  <si>
    <t>65.30.</t>
  </si>
  <si>
    <t>leidingnet &amp; toebehoren - algemeen</t>
  </si>
  <si>
    <t>65.31.</t>
  </si>
  <si>
    <t>65.32.</t>
  </si>
  <si>
    <t xml:space="preserve">leidingnet &amp; toebehoren - collectoren </t>
  </si>
  <si>
    <t>65.33.</t>
  </si>
  <si>
    <t>65.34.</t>
  </si>
  <si>
    <t xml:space="preserve">leidingnet &amp; toebehoren - brandwerende doorvoeren </t>
  </si>
  <si>
    <t>65.40.</t>
  </si>
  <si>
    <t>installatieonderdelen - algemeen</t>
  </si>
  <si>
    <t>65.41.</t>
  </si>
  <si>
    <t xml:space="preserve">installatieonderdelen - aflaatkranen </t>
  </si>
  <si>
    <t>65.42.</t>
  </si>
  <si>
    <t xml:space="preserve">installatieonderdelen – regel- en afsluitkranen </t>
  </si>
  <si>
    <t>65.43.</t>
  </si>
  <si>
    <t xml:space="preserve">installatieonderdelen - drukregelaars </t>
  </si>
  <si>
    <t>65.44.</t>
  </si>
  <si>
    <t xml:space="preserve">installatieonderdelen - circulatoren </t>
  </si>
  <si>
    <t>65.45.</t>
  </si>
  <si>
    <t xml:space="preserve">installatieonderdelen - expansiesysteem </t>
  </si>
  <si>
    <t>65.46.</t>
  </si>
  <si>
    <t xml:space="preserve">installatieonderdelen - vlotterontluchters </t>
  </si>
  <si>
    <t>65.47.</t>
  </si>
  <si>
    <t xml:space="preserve">installatieonderdelen - microbellenafscheider </t>
  </si>
  <si>
    <t>65.50.</t>
  </si>
  <si>
    <t>verwarmingselementen &amp; toebehoren - algemeen</t>
  </si>
  <si>
    <t>65.52.</t>
  </si>
  <si>
    <t>verwarmingselementen &amp; toebehoren - wandconvectoren</t>
  </si>
  <si>
    <t>65.60.</t>
  </si>
  <si>
    <t>warmteregeling &amp; toebehoren - algemeen</t>
  </si>
  <si>
    <t>65.62.</t>
  </si>
  <si>
    <t>65.63.</t>
  </si>
  <si>
    <t xml:space="preserve">warmteregeling &amp; toebehoren - kamerthermostaten </t>
  </si>
  <si>
    <t>65.64.</t>
  </si>
  <si>
    <t xml:space="preserve">warmteregeling &amp; toebehoren - weersafhankelijke regeling </t>
  </si>
  <si>
    <t>67.</t>
  </si>
  <si>
    <t>BRANDBESTRIJDING</t>
  </si>
  <si>
    <t>67.00.</t>
  </si>
  <si>
    <t>brandbestrijding - algemeen</t>
  </si>
  <si>
    <t>67.10.</t>
  </si>
  <si>
    <t>brandblusapparaten - algemeen</t>
  </si>
  <si>
    <t>67.13.</t>
  </si>
  <si>
    <t xml:space="preserve">brandblusapparaten - schuimsnelblussers </t>
  </si>
  <si>
    <t>68.</t>
  </si>
  <si>
    <t>VENTILATIE</t>
  </si>
  <si>
    <t>68.00.</t>
  </si>
  <si>
    <t>ventilatie - algemeen</t>
  </si>
  <si>
    <t>68.02.</t>
  </si>
  <si>
    <t>ventilatie – proeven</t>
  </si>
  <si>
    <t>68.10.</t>
  </si>
  <si>
    <t>ventilatiekanalen - algemeen</t>
  </si>
  <si>
    <t>68.11.</t>
  </si>
  <si>
    <t>ventilatiekanalen - metaal</t>
  </si>
  <si>
    <t>68.13.</t>
  </si>
  <si>
    <t xml:space="preserve">ventilatiekanalen - flexibele kanalen </t>
  </si>
  <si>
    <t>68.15.</t>
  </si>
  <si>
    <t xml:space="preserve">ventilatiekanalen - ophanging en bevestiging </t>
  </si>
  <si>
    <t>68.40.</t>
  </si>
  <si>
    <t>ventilatoren – algemeen</t>
  </si>
  <si>
    <t>68.41.</t>
  </si>
  <si>
    <t>68.50.</t>
  </si>
  <si>
    <t>dampkappen - algemeen</t>
  </si>
  <si>
    <t>68.51.</t>
  </si>
  <si>
    <t xml:space="preserve">dampkappen - inbouwmotor </t>
  </si>
  <si>
    <t>68.60.</t>
  </si>
  <si>
    <t>ventilatieventielen en -roosters - algemeen</t>
  </si>
  <si>
    <t>68.61.</t>
  </si>
  <si>
    <t xml:space="preserve">ventilatiemonden - ventiel met regelbare conus </t>
  </si>
  <si>
    <t>69.</t>
  </si>
  <si>
    <t>OPBOUWKANALEN ROOKGAS EN VENTILATIE</t>
  </si>
  <si>
    <t>69.00.</t>
  </si>
  <si>
    <t>opbouwkanalen rookgas en ventilatie – algemeen</t>
  </si>
  <si>
    <t>69.10.</t>
  </si>
  <si>
    <t>schoorstenen - algemeen</t>
  </si>
  <si>
    <t>69.12.</t>
  </si>
  <si>
    <t>schoorstenen – aluminium</t>
  </si>
  <si>
    <t>69.20.</t>
  </si>
  <si>
    <t>dakdoorgang - algemeen</t>
  </si>
  <si>
    <t>69.21.</t>
  </si>
  <si>
    <t xml:space="preserve">dakdoorgang - enkelvoudig </t>
  </si>
  <si>
    <t>mlib.xlsm</t>
  </si>
  <si>
    <t>regenwater</t>
  </si>
  <si>
    <t>douches</t>
  </si>
  <si>
    <t>PM</t>
  </si>
  <si>
    <t>SOG</t>
  </si>
  <si>
    <t>VMSW</t>
  </si>
  <si>
    <t>arbeidsmiddelen – werken op hoogte/ladders</t>
  </si>
  <si>
    <t>02.81.10.</t>
  </si>
  <si>
    <t>keuken</t>
  </si>
  <si>
    <t>60.12.01.</t>
  </si>
  <si>
    <t>60.12.02.</t>
  </si>
  <si>
    <t>60.12.03.</t>
  </si>
  <si>
    <t>60.12.04.</t>
  </si>
  <si>
    <t>60.12.05.</t>
  </si>
  <si>
    <t>60.51.30.</t>
  </si>
  <si>
    <t>60.51.31.</t>
  </si>
  <si>
    <t>60.51.34.</t>
  </si>
  <si>
    <t>Hangtoilet – toebehoren / enkele jashaak</t>
  </si>
  <si>
    <t>61.63.01.</t>
  </si>
  <si>
    <t>muurhandgreep – vast</t>
  </si>
  <si>
    <t>61.63.02.</t>
  </si>
  <si>
    <t>muurhandgreep – opklapbaar</t>
  </si>
  <si>
    <t>61.72.10.</t>
  </si>
  <si>
    <t>62.21.10.</t>
  </si>
  <si>
    <t>installatieafsluitkranen – messing/zonder aftapkraan</t>
  </si>
  <si>
    <t>62.42.20.</t>
  </si>
  <si>
    <t xml:space="preserve">dienstkranen – dubbele dienstkraan/buiten (incl afsluitkraan aan de binnenzijde)	</t>
  </si>
  <si>
    <t>muurmengkranen – douchemengkraan/armatuur inbouw - kraan</t>
  </si>
  <si>
    <t>65.21.20.</t>
  </si>
  <si>
    <t>65.31.30.</t>
  </si>
  <si>
    <t>65.52.01.</t>
  </si>
  <si>
    <t>65.52.02.</t>
  </si>
  <si>
    <t>68.02.10.</t>
  </si>
  <si>
    <t>ventilatie – proeven/debietmeting</t>
  </si>
  <si>
    <t>68.02.20.</t>
  </si>
  <si>
    <t>ventilatie – proeven/meting kanaaldichtheid</t>
  </si>
  <si>
    <t>68.11.10.</t>
  </si>
  <si>
    <t>Ø 125 mm</t>
  </si>
  <si>
    <t>68.11.12.</t>
  </si>
  <si>
    <t>Ø 160mm</t>
  </si>
  <si>
    <t>68.11.13.</t>
  </si>
  <si>
    <t>68.11.14.</t>
  </si>
  <si>
    <t>68.61.11.</t>
  </si>
  <si>
    <t>68.61.12.</t>
  </si>
  <si>
    <t>68.61.13.</t>
  </si>
  <si>
    <t>ventilatiemonden – dakventielen standaard</t>
  </si>
  <si>
    <t>69.12.20.</t>
  </si>
  <si>
    <t>binnenopstelling</t>
  </si>
  <si>
    <t>Mindervalidentoilet</t>
  </si>
  <si>
    <t>dubbele wasbak in de keuken</t>
  </si>
  <si>
    <t>in de keuken</t>
  </si>
  <si>
    <t>wastafel mindervalidentoilet</t>
  </si>
  <si>
    <t>wastrog toiletten</t>
  </si>
  <si>
    <t>mindervalidetoilet</t>
  </si>
  <si>
    <t>deel buiten het gebouw</t>
  </si>
  <si>
    <t>radiatoren</t>
  </si>
  <si>
    <t xml:space="preserve">op die plaatsen in de installatie waar zich lucht verzamelt </t>
  </si>
  <si>
    <t>(hoogste punt installatie, nabij verwarmingsketel…)</t>
  </si>
  <si>
    <t xml:space="preserve">Te plaatsen kort nabij de warme uitlaat van de ketel </t>
  </si>
  <si>
    <t>Op alle radiatoren met uitzondering van deze in het lokaal waar de kamerthermostaat is opgesteld</t>
  </si>
  <si>
    <t>radiatoren in ruimte met kamerthermostaat</t>
  </si>
  <si>
    <t>Koppeling van extractorunits aan stijve kanalen volgens plannen en meetstaat.</t>
  </si>
  <si>
    <t>Dampkap 500m³/h</t>
  </si>
  <si>
    <t>Primaire verluchting sanitair</t>
  </si>
  <si>
    <t>Verluchting stookplaats</t>
  </si>
  <si>
    <t xml:space="preserve">Rookgasafvoer condenserende verwarmingsketel. </t>
  </si>
  <si>
    <t>collectoren</t>
  </si>
  <si>
    <t>cv</t>
  </si>
  <si>
    <t>koud water</t>
  </si>
  <si>
    <t>warm water</t>
  </si>
  <si>
    <t>recuperatie regenwater</t>
  </si>
  <si>
    <t>verbinding met RW put</t>
  </si>
  <si>
    <t>1 lm per toilet</t>
  </si>
  <si>
    <t>1 lm per urinoir</t>
  </si>
  <si>
    <t>1 lm per douche</t>
  </si>
  <si>
    <t>2 lm per uitgietbak</t>
  </si>
  <si>
    <t>2 lm per wasmachine (bergin naar keuken)</t>
  </si>
  <si>
    <t>2 lm condensafvoer ketel</t>
  </si>
  <si>
    <t>2 lm afvoer pompbak/wastrog</t>
  </si>
  <si>
    <t>61.12.01.</t>
  </si>
  <si>
    <t>61.12.02.</t>
  </si>
  <si>
    <t>61.12.03.</t>
  </si>
  <si>
    <t>wastroggen (douche + toiletten M + toiletten V)</t>
  </si>
  <si>
    <t>pompbak (toiletten MV)</t>
  </si>
  <si>
    <t>62.63.10.</t>
  </si>
  <si>
    <t>68.65.</t>
  </si>
  <si>
    <t>68.65.10.</t>
  </si>
  <si>
    <t>61.21.11.</t>
  </si>
  <si>
    <t>koud water naar collectoren</t>
  </si>
  <si>
    <t>warm water naar collectoren</t>
  </si>
  <si>
    <t>recuperatie regenwater naar collectoren</t>
  </si>
  <si>
    <t>alle warmwaterleidingen</t>
  </si>
  <si>
    <t>te verplaatsen</t>
  </si>
  <si>
    <t>aansluiting leidingnet - voedingsleidingen PE Ø32</t>
  </si>
  <si>
    <t>voor regenwater</t>
  </si>
  <si>
    <t>douche MIVA</t>
  </si>
  <si>
    <t>stadswater</t>
  </si>
  <si>
    <t>muurmengkranen – douchemengkraan/armatuur opbouw -thermostatisch</t>
  </si>
  <si>
    <t>in het leidingslokaal</t>
  </si>
  <si>
    <t>afwastafels - inbouwmodel/roestvast staal (RVS) enkel</t>
  </si>
  <si>
    <t>enkele wasbak in het leidingslokaal</t>
  </si>
  <si>
    <t>aanpassing naar nieuwe stookplaats</t>
  </si>
  <si>
    <t>lente aftakking van bestaand</t>
  </si>
  <si>
    <t>bochtstukken</t>
  </si>
  <si>
    <t>overbrugging bestaande afstand tot rooilijn</t>
  </si>
  <si>
    <t>gaswandketels - gesloten/CV &amp; SWW (recuperatie bestaand toestel)</t>
  </si>
  <si>
    <t>alle leidingen</t>
  </si>
  <si>
    <t>Recuperatie radiator</t>
  </si>
  <si>
    <t>Nieuwe radiator</t>
  </si>
  <si>
    <t>00</t>
  </si>
  <si>
    <t>01</t>
  </si>
  <si>
    <t>eenheidsprijs</t>
  </si>
  <si>
    <t>Leidingslokaal</t>
  </si>
  <si>
    <t>Grote zaal</t>
  </si>
  <si>
    <t>brandblusapparaten - Co2blussers</t>
  </si>
  <si>
    <t>technische ruimten</t>
  </si>
  <si>
    <t>67.12.</t>
  </si>
  <si>
    <t>67.11.</t>
  </si>
  <si>
    <t>brandblusapparaten - blusdeken</t>
  </si>
  <si>
    <t>1 per verdiep in traphal</t>
  </si>
  <si>
    <t>1 in grote zaal</t>
  </si>
  <si>
    <t>Ø 150mm</t>
  </si>
  <si>
    <t>Kanaalventilator</t>
  </si>
  <si>
    <t xml:space="preserve">	schoorstenen – aluminium/concentrisch - recuperatie</t>
  </si>
  <si>
    <t>Systeem voor dakdoorvoer voor aan- of afvoer van lucht ketel</t>
  </si>
  <si>
    <t>recuperatie</t>
  </si>
  <si>
    <t>coll gv</t>
  </si>
  <si>
    <t>RW 7 aansluitingen</t>
  </si>
  <si>
    <t>WW 3 aansluitingen</t>
  </si>
  <si>
    <t>60.51.34</t>
  </si>
  <si>
    <t>locatie materiaalkot</t>
  </si>
  <si>
    <t>61.12.04.</t>
  </si>
  <si>
    <t xml:space="preserve">Hangtoilet </t>
  </si>
  <si>
    <t>Hangtoilet – toebehoren / wc rol houder + toiletborstelhouder</t>
  </si>
  <si>
    <t>wastafels en toebehoren - gootmodel - lengte 180cm</t>
  </si>
  <si>
    <t>1ev</t>
  </si>
  <si>
    <t>onder luifel</t>
  </si>
  <si>
    <t>KW 13 aansluitingen</t>
  </si>
  <si>
    <t>2ev</t>
  </si>
  <si>
    <t>gv + 1ev</t>
  </si>
  <si>
    <t>verticaal</t>
  </si>
  <si>
    <t>ventilatoren - extractor 200m³/h</t>
  </si>
  <si>
    <t>ventiel met regelbare conus – Ø 125 mm -75 m³/h</t>
  </si>
  <si>
    <t>sanitair wc's</t>
  </si>
  <si>
    <t>sanitair mv</t>
  </si>
  <si>
    <t>ventiel met regelbare conus – Ø 125 mm – 50 m³/h</t>
  </si>
  <si>
    <t>Hangtoilet – mindervaliden RECUPERATIE BESTAAND TOILET</t>
  </si>
  <si>
    <t>handwastafels &amp; toebehoren - wandmodel mindervaliden RECUPERATIE BESTAANDE WASTAFEL</t>
  </si>
  <si>
    <t>afwastafels - inbouwmodel/roestvast staal (RVS) dubbel RECUPERATIE BESTAANDE SPOELBAK</t>
  </si>
  <si>
    <t>ééngatskranen - afwastafelmengkraan  RECUPERATIE BESTAANDE KRAAN</t>
  </si>
  <si>
    <t>61.72.11.</t>
  </si>
  <si>
    <t>volgnr.</t>
  </si>
  <si>
    <t>art.</t>
  </si>
  <si>
    <t>eenheid</t>
  </si>
  <si>
    <t>hoev.</t>
  </si>
  <si>
    <t>hoev. 2</t>
  </si>
  <si>
    <t>eenh.pr.</t>
  </si>
  <si>
    <t>gemiddelde</t>
  </si>
  <si>
    <t>prijs</t>
  </si>
  <si>
    <t>afw. hoev.</t>
  </si>
  <si>
    <t>prijs 2</t>
  </si>
  <si>
    <t>% tov tot.</t>
  </si>
  <si>
    <t>% tov gem.</t>
  </si>
  <si>
    <t>Totaal €</t>
  </si>
  <si>
    <t>BTW</t>
  </si>
  <si>
    <t>Eindtotaal €</t>
  </si>
  <si>
    <t>Hoofdstuk 0</t>
  </si>
  <si>
    <t>Hoofdstuk 1</t>
  </si>
  <si>
    <t>Hoofdstuk 2</t>
  </si>
  <si>
    <t>Hoofdstuk 4</t>
  </si>
  <si>
    <t>Hoofdstuk 60</t>
  </si>
  <si>
    <t>Hoofdstuk 61</t>
  </si>
  <si>
    <t>Hoofdstuk 62</t>
  </si>
  <si>
    <t>Hoofdstuk 64</t>
  </si>
  <si>
    <t>Hoofdstuk 65</t>
  </si>
  <si>
    <t>Hoofdstuk 67</t>
  </si>
  <si>
    <t>Hoofdstuk 68</t>
  </si>
  <si>
    <t>Hoofdstuk 69</t>
  </si>
  <si>
    <t>WRJ22</t>
  </si>
  <si>
    <t>Waasmunster_Jeugdlokalen</t>
  </si>
  <si>
    <t>Gemeentebestuur Waasmunster</t>
  </si>
  <si>
    <t>Verwarm, Vent &amp; San</t>
  </si>
  <si>
    <t>afvoerbuizen - PE (enkel levering)</t>
  </si>
  <si>
    <t>PE – Ø 40 mm (enkel levering)</t>
  </si>
  <si>
    <t>PE – Ø 50 mm (enkel levering)</t>
  </si>
  <si>
    <t>PE – Ø 63 mm (enkel levering)</t>
  </si>
  <si>
    <t>PE – Ø 75 mm  (enkel levering)</t>
  </si>
  <si>
    <t>PE – Ø 90 mm (enkel levering)</t>
  </si>
  <si>
    <t>sanitaire drukleidingen – buizen/kunststof (enkel levering)</t>
  </si>
  <si>
    <t>PP-R Ø 16 x 2.7 mm (enkel levering)</t>
  </si>
  <si>
    <t>PP-R Ø 32 x 5.4 mm (enkel levering)</t>
  </si>
  <si>
    <t>sanitaire drukleidingen - leidingisolatie meerprijs prefab  (enkel levering)</t>
  </si>
  <si>
    <t>leidingnet &amp; toebehoren - buizen/kunststof (enkel levering)</t>
  </si>
  <si>
    <t>leidingnet &amp; toebehoren - buizen/kunststof radiatoren (enkel levering)</t>
  </si>
  <si>
    <t>leidingnet &amp; toebehoren - leidingisolatie prefab meerprijs (enkel levering)</t>
  </si>
  <si>
    <t>warmteregeling &amp; toebehoren - thermostaatkoppen (recuperatie op bestaande radiator)</t>
  </si>
  <si>
    <t>VH</t>
  </si>
  <si>
    <t>ventilatiemonden - dakventielen (plaatsing in begrepen in dakwerken)</t>
  </si>
  <si>
    <t xml:space="preserve">ventilatiekanalen - metaal/rond </t>
  </si>
  <si>
    <t>1e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</si>
</sst>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* #,##0.00\ &quot;€&quot;_-;\-* #,##0.00\ &quot;€&quot;_-;_-* &quot;-&quot;??\ &quot;€&quot;_-;_-@_-"/>
    <numFmt numFmtId="164" formatCode="&quot;€&quot;\ #,##0.00;&quot;€&quot;\ \-#,##0.00"/>
    <numFmt numFmtId="165" formatCode="&quot;€&quot;\ #,##0.00;[Red]&quot;€&quot;\ \-#,##0.00"/>
    <numFmt numFmtId="166" formatCode="0.00_ ;[Red]\-0.00\ "/>
    <numFmt numFmtId="167" formatCode="#,##0.00\ _€;[Red]\-#,##0.00\ _€;\ "/>
    <numFmt numFmtId="168" formatCode="#,##0_._0_0_0;[Red]\-#,##0_._0_0_0"/>
    <numFmt numFmtId="169" formatCode="\x\ 0;\x\ \-0"/>
    <numFmt numFmtId="170" formatCode="#,##0.00_0;[Red]\-#,##0.00_0"/>
    <numFmt numFmtId="171" formatCode="#,##0.000;[Red]\-#,##0.000"/>
    <numFmt numFmtId="172" formatCode="#,##0.00;[Red]\-#,##0.00;&quot;incl.&quot;"/>
    <numFmt numFmtId="173" formatCode="#,##0.0___0;[Red]\-#,##0.00_0"/>
    <numFmt numFmtId="174" formatCode="#,##0.00_0;[Red]\-#,##0.00_00"/>
    <numFmt numFmtId="175" formatCode="#,##0.000"/>
    <numFmt numFmtId="176" formatCode="#,##0.00;[Red]\-#,##0.00;&quot; &quot;"/>
    <numFmt numFmtId="177" formatCode="0_ ;[Red]\-0\ "/>
    <numFmt numFmtId="178" formatCode="0.0%;\-0.0%;&quot; &quot;"/>
    <numFmt numFmtId="179" formatCode="0.0%;\-0.0%"/>
  </numFmts>
  <fonts count="22">
    <font>
      <sz val="1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sz val="8"/>
      <name val="Helv"/>
    </font>
    <font>
      <sz val="10"/>
      <name val="Prenton RP Pro Light"/>
      <family val="2"/>
    </font>
    <font>
      <sz val="12"/>
      <color indexed="24"/>
      <name val="Arial"/>
      <family val="2"/>
    </font>
    <font>
      <sz val="8"/>
      <name val="Verdana"/>
      <family val="2"/>
    </font>
    <font>
      <b/>
      <sz val="10"/>
      <name val="Verdana"/>
      <family val="2"/>
    </font>
    <font>
      <b/>
      <sz val="9.75"/>
      <color rgb="FF0000FF"/>
      <name val="Prenton RP Pro Light"/>
      <family val="2"/>
    </font>
    <font>
      <b/>
      <sz val="10"/>
      <name val="Prenton RP Pro Light"/>
      <family val="2"/>
    </font>
    <font>
      <sz val="8"/>
      <name val="Prenton RP Pro Light"/>
      <family val="2"/>
    </font>
    <font>
      <sz val="9"/>
      <name val="Prenton RP Pro Light"/>
      <family val="2"/>
    </font>
    <font>
      <b/>
      <sz val="10"/>
      <color indexed="19"/>
      <name val="Prenton RP Pro Light"/>
      <family val="2"/>
    </font>
  </fonts>
  <fills count="13">
    <fill>
      <patternFill patternType="none"/>
    </fill>
    <fill>
      <patternFill patternType="gray125"/>
    </fill>
    <fill>
      <patternFill patternType="gray125">
        <bgColor indexed="4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201">
    <xf numFmtId="0" fontId="0" fillId="0" borderId="0"/>
    <xf numFmtId="49" fontId="7" fillId="1" borderId="3">
      <alignment horizontal="left"/>
    </xf>
    <xf numFmtId="167" fontId="11" fillId="3" borderId="0" applyFont="0" applyFill="0" applyBorder="0" applyAlignment="0" applyProtection="0"/>
    <xf numFmtId="168" fontId="11" fillId="0" borderId="0" applyFont="0" applyFill="0" applyBorder="0" applyAlignment="0" applyProtection="0"/>
    <xf numFmtId="169" fontId="12" fillId="0" borderId="8" applyFont="0" applyFill="0" applyBorder="0" applyAlignment="0" applyProtection="0"/>
    <xf numFmtId="0" fontId="7" fillId="4" borderId="3" applyNumberFormat="0" applyFill="0" applyAlignment="0" applyProtection="0"/>
    <xf numFmtId="170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6" fontId="10" fillId="0" borderId="0"/>
    <xf numFmtId="172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66" fontId="10" fillId="0" borderId="0"/>
    <xf numFmtId="0" fontId="14" fillId="0" borderId="0"/>
    <xf numFmtId="3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5" fillId="0" borderId="0"/>
    <xf numFmtId="168" fontId="10" fillId="0" borderId="0" applyFont="0" applyFill="0" applyBorder="0" applyAlignment="0" applyProtection="0"/>
    <xf numFmtId="169" fontId="12" fillId="0" borderId="8" applyFont="0" applyFill="0" applyBorder="0" applyAlignment="0" applyProtection="0"/>
    <xf numFmtId="0" fontId="7" fillId="1" borderId="3" applyNumberFormat="0" applyProtection="0">
      <alignment horizontal="left"/>
    </xf>
    <xf numFmtId="0" fontId="7" fillId="1" borderId="3" applyNumberFormat="0" applyProtection="0">
      <alignment horizontal="left"/>
    </xf>
    <xf numFmtId="168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64" fontId="10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0" fillId="0" borderId="0"/>
    <xf numFmtId="17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5" fontId="12" fillId="0" borderId="0" applyFont="0" applyFill="0" applyBorder="0" applyAlignment="0" applyProtection="0"/>
    <xf numFmtId="168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1" fillId="0" borderId="0"/>
    <xf numFmtId="0" fontId="12" fillId="0" borderId="0"/>
    <xf numFmtId="0" fontId="11" fillId="0" borderId="0"/>
    <xf numFmtId="0" fontId="12" fillId="0" borderId="0"/>
    <xf numFmtId="0" fontId="6" fillId="0" borderId="0"/>
    <xf numFmtId="168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68" fontId="10" fillId="0" borderId="0"/>
    <xf numFmtId="165" fontId="11" fillId="3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2" fontId="10" fillId="0" borderId="0"/>
    <xf numFmtId="168" fontId="15" fillId="0" borderId="0"/>
    <xf numFmtId="168" fontId="11" fillId="0" borderId="0" applyFont="0" applyFill="0" applyBorder="0" applyAlignment="0" applyProtection="0"/>
    <xf numFmtId="0" fontId="7" fillId="0" borderId="2">
      <alignment horizontal="left"/>
    </xf>
    <xf numFmtId="0" fontId="7" fillId="0" borderId="2">
      <alignment horizontal="left"/>
    </xf>
    <xf numFmtId="0" fontId="7" fillId="0" borderId="2">
      <alignment horizontal="left"/>
    </xf>
    <xf numFmtId="0" fontId="7" fillId="0" borderId="2"/>
    <xf numFmtId="0" fontId="7" fillId="0" borderId="2"/>
    <xf numFmtId="171" fontId="11" fillId="0" borderId="0" applyFont="0" applyFill="0" applyBorder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171" fontId="11" fillId="0" borderId="0" applyFont="0" applyFill="0" applyBorder="0" applyAlignment="0" applyProtection="0"/>
    <xf numFmtId="171" fontId="10" fillId="0" borderId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16" fillId="4" borderId="3" applyNumberFormat="0" applyFill="0" applyAlignment="0" applyProtection="0"/>
    <xf numFmtId="170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6" fillId="0" borderId="0"/>
    <xf numFmtId="166" fontId="10" fillId="0" borderId="0"/>
    <xf numFmtId="44" fontId="10" fillId="0" borderId="0" applyFont="0" applyFill="0" applyBorder="0" applyAlignment="0" applyProtection="0"/>
    <xf numFmtId="0" fontId="6" fillId="0" borderId="0"/>
    <xf numFmtId="0" fontId="6" fillId="0" borderId="0"/>
    <xf numFmtId="166" fontId="10" fillId="0" borderId="0"/>
    <xf numFmtId="164" fontId="10" fillId="0" borderId="0" applyFont="0" applyFill="0" applyBorder="0" applyAlignment="0" applyProtection="0"/>
    <xf numFmtId="0" fontId="6" fillId="0" borderId="0"/>
    <xf numFmtId="165" fontId="11" fillId="3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6" fontId="10" fillId="0" borderId="0"/>
    <xf numFmtId="0" fontId="5" fillId="0" borderId="0"/>
    <xf numFmtId="0" fontId="5" fillId="0" borderId="0"/>
    <xf numFmtId="44" fontId="1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44" fontId="1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44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44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44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9" fillId="0" borderId="3"/>
    <xf numFmtId="170" fontId="9" fillId="0" borderId="3"/>
    <xf numFmtId="171" fontId="9" fillId="0" borderId="3"/>
    <xf numFmtId="0" fontId="15" fillId="0" borderId="0"/>
    <xf numFmtId="166" fontId="10" fillId="0" borderId="0"/>
    <xf numFmtId="166" fontId="10" fillId="0" borderId="0"/>
  </cellStyleXfs>
  <cellXfs count="100">
    <xf numFmtId="0" fontId="0" fillId="0" borderId="0" xfId="0"/>
    <xf numFmtId="166" fontId="13" fillId="0" borderId="0" xfId="0" applyNumberFormat="1" applyFont="1"/>
    <xf numFmtId="0" fontId="13" fillId="0" borderId="0" xfId="0" applyFont="1"/>
    <xf numFmtId="166" fontId="13" fillId="0" borderId="1" xfId="0" applyNumberFormat="1" applyFont="1" applyBorder="1"/>
    <xf numFmtId="166" fontId="19" fillId="0" borderId="0" xfId="0" applyNumberFormat="1" applyFont="1"/>
    <xf numFmtId="166" fontId="13" fillId="0" borderId="2" xfId="0" applyNumberFormat="1" applyFont="1" applyBorder="1"/>
    <xf numFmtId="49" fontId="18" fillId="2" borderId="3" xfId="1" applyFont="1" applyFill="1">
      <alignment horizontal="left"/>
    </xf>
    <xf numFmtId="49" fontId="18" fillId="1" borderId="3" xfId="1" applyFont="1">
      <alignment horizontal="left"/>
    </xf>
    <xf numFmtId="49" fontId="18" fillId="0" borderId="3" xfId="1" applyFont="1" applyFill="1">
      <alignment horizontal="left"/>
    </xf>
    <xf numFmtId="0" fontId="13" fillId="0" borderId="2" xfId="0" applyFont="1" applyBorder="1"/>
    <xf numFmtId="170" fontId="18" fillId="0" borderId="10" xfId="18" applyFont="1" applyFill="1" applyBorder="1" applyAlignment="1"/>
    <xf numFmtId="170" fontId="18" fillId="0" borderId="10" xfId="13" applyFont="1" applyFill="1" applyBorder="1" applyAlignment="1"/>
    <xf numFmtId="0" fontId="18" fillId="0" borderId="3" xfId="5" applyFont="1" applyFill="1" applyAlignment="1"/>
    <xf numFmtId="2" fontId="13" fillId="0" borderId="7" xfId="0" applyNumberFormat="1" applyFont="1" applyBorder="1"/>
    <xf numFmtId="169" fontId="13" fillId="0" borderId="8" xfId="4" applyFont="1" applyFill="1" applyBorder="1" applyAlignment="1"/>
    <xf numFmtId="169" fontId="13" fillId="0" borderId="9" xfId="4" applyFont="1" applyFill="1" applyBorder="1" applyAlignment="1"/>
    <xf numFmtId="0" fontId="18" fillId="0" borderId="10" xfId="5" applyFont="1" applyFill="1" applyBorder="1" applyAlignment="1"/>
    <xf numFmtId="0" fontId="18" fillId="0" borderId="11" xfId="5" applyFont="1" applyFill="1" applyBorder="1" applyAlignment="1"/>
    <xf numFmtId="2" fontId="13" fillId="0" borderId="0" xfId="0" applyNumberFormat="1" applyFont="1"/>
    <xf numFmtId="167" fontId="18" fillId="0" borderId="3" xfId="2" applyFont="1" applyFill="1" applyBorder="1" applyAlignment="1"/>
    <xf numFmtId="166" fontId="13" fillId="5" borderId="0" xfId="0" applyNumberFormat="1" applyFont="1" applyFill="1"/>
    <xf numFmtId="0" fontId="13" fillId="0" borderId="4" xfId="0" applyFont="1" applyBorder="1" applyAlignment="1">
      <alignment horizontal="right"/>
    </xf>
    <xf numFmtId="0" fontId="13" fillId="0" borderId="2" xfId="0" applyFont="1" applyBorder="1" applyAlignment="1">
      <alignment horizontal="right"/>
    </xf>
    <xf numFmtId="0" fontId="13" fillId="0" borderId="5" xfId="0" applyFont="1" applyBorder="1" applyAlignment="1">
      <alignment horizontal="centerContinuous"/>
    </xf>
    <xf numFmtId="0" fontId="13" fillId="0" borderId="6" xfId="0" applyFont="1" applyBorder="1" applyAlignment="1">
      <alignment horizontal="centerContinuous"/>
    </xf>
    <xf numFmtId="168" fontId="13" fillId="0" borderId="0" xfId="3" applyFont="1" applyFill="1" applyBorder="1" applyAlignment="1"/>
    <xf numFmtId="170" fontId="13" fillId="0" borderId="0" xfId="8" applyFont="1" applyFill="1" applyBorder="1" applyAlignment="1"/>
    <xf numFmtId="166" fontId="17" fillId="0" borderId="0" xfId="0" quotePrefix="1" applyNumberFormat="1" applyFont="1"/>
    <xf numFmtId="166" fontId="18" fillId="0" borderId="0" xfId="0" applyNumberFormat="1" applyFont="1"/>
    <xf numFmtId="166" fontId="17" fillId="0" borderId="0" xfId="0" applyNumberFormat="1" applyFont="1"/>
    <xf numFmtId="0" fontId="20" fillId="0" borderId="0" xfId="0" applyFont="1"/>
    <xf numFmtId="168" fontId="9" fillId="0" borderId="3" xfId="195"/>
    <xf numFmtId="170" fontId="9" fillId="0" borderId="3" xfId="196"/>
    <xf numFmtId="166" fontId="13" fillId="0" borderId="0" xfId="0" quotePrefix="1" applyNumberFormat="1" applyFont="1"/>
    <xf numFmtId="0" fontId="13" fillId="0" borderId="0" xfId="0" quotePrefix="1" applyFont="1"/>
    <xf numFmtId="0" fontId="13" fillId="6" borderId="0" xfId="0" applyFont="1" applyFill="1"/>
    <xf numFmtId="177" fontId="13" fillId="0" borderId="1" xfId="14" applyNumberFormat="1" applyFont="1" applyBorder="1"/>
    <xf numFmtId="166" fontId="13" fillId="0" borderId="1" xfId="14" applyFont="1" applyBorder="1"/>
    <xf numFmtId="166" fontId="13" fillId="0" borderId="0" xfId="14" applyFont="1"/>
    <xf numFmtId="177" fontId="13" fillId="7" borderId="13" xfId="14" applyNumberFormat="1" applyFont="1" applyFill="1" applyBorder="1" applyAlignment="1">
      <alignment horizontal="center" vertical="top"/>
    </xf>
    <xf numFmtId="166" fontId="13" fillId="7" borderId="13" xfId="14" applyFont="1" applyFill="1" applyBorder="1" applyAlignment="1">
      <alignment horizontal="center" vertical="top"/>
    </xf>
    <xf numFmtId="166" fontId="13" fillId="7" borderId="13" xfId="14" applyFont="1" applyFill="1" applyBorder="1" applyAlignment="1">
      <alignment vertical="top"/>
    </xf>
    <xf numFmtId="166" fontId="13" fillId="7" borderId="13" xfId="14" applyFont="1" applyFill="1" applyBorder="1" applyAlignment="1">
      <alignment horizontal="center" vertical="top" wrapText="1"/>
    </xf>
    <xf numFmtId="166" fontId="13" fillId="7" borderId="10" xfId="14" applyFont="1" applyFill="1" applyBorder="1" applyAlignment="1">
      <alignment horizontal="center" vertical="top"/>
    </xf>
    <xf numFmtId="166" fontId="13" fillId="8" borderId="13" xfId="14" applyFont="1" applyFill="1" applyBorder="1" applyAlignment="1">
      <alignment vertical="top"/>
    </xf>
    <xf numFmtId="166" fontId="13" fillId="9" borderId="3" xfId="14" applyFont="1" applyFill="1" applyBorder="1" applyAlignment="1">
      <alignment horizontal="right" vertical="top"/>
    </xf>
    <xf numFmtId="166" fontId="13" fillId="9" borderId="12" xfId="14" applyFont="1" applyFill="1" applyBorder="1" applyAlignment="1">
      <alignment horizontal="right" vertical="top"/>
    </xf>
    <xf numFmtId="166" fontId="13" fillId="10" borderId="3" xfId="14" applyFont="1" applyFill="1" applyBorder="1" applyAlignment="1">
      <alignment horizontal="right" vertical="top"/>
    </xf>
    <xf numFmtId="166" fontId="13" fillId="10" borderId="12" xfId="14" applyFont="1" applyFill="1" applyBorder="1" applyAlignment="1">
      <alignment horizontal="right" vertical="top"/>
    </xf>
    <xf numFmtId="166" fontId="13" fillId="11" borderId="3" xfId="14" applyFont="1" applyFill="1" applyBorder="1" applyAlignment="1">
      <alignment horizontal="right" vertical="top"/>
    </xf>
    <xf numFmtId="166" fontId="13" fillId="11" borderId="12" xfId="14" applyFont="1" applyFill="1" applyBorder="1" applyAlignment="1">
      <alignment horizontal="right" vertical="top"/>
    </xf>
    <xf numFmtId="166" fontId="13" fillId="0" borderId="0" xfId="14" applyFont="1" applyAlignment="1">
      <alignment vertical="top"/>
    </xf>
    <xf numFmtId="177" fontId="13" fillId="7" borderId="0" xfId="14" applyNumberFormat="1" applyFont="1" applyFill="1" applyAlignment="1">
      <alignment horizontal="center" vertical="top"/>
    </xf>
    <xf numFmtId="49" fontId="21" fillId="0" borderId="14" xfId="0" applyNumberFormat="1" applyFont="1" applyBorder="1" applyAlignment="1">
      <alignment vertical="top"/>
    </xf>
    <xf numFmtId="0" fontId="13" fillId="0" borderId="15" xfId="0" applyFont="1" applyBorder="1"/>
    <xf numFmtId="0" fontId="13" fillId="0" borderId="15" xfId="0" applyFont="1" applyBorder="1" applyAlignment="1">
      <alignment wrapText="1"/>
    </xf>
    <xf numFmtId="167" fontId="13" fillId="0" borderId="15" xfId="2" applyFont="1" applyFill="1" applyBorder="1" applyAlignment="1"/>
    <xf numFmtId="167" fontId="13" fillId="0" borderId="16" xfId="2" applyFont="1" applyFill="1" applyBorder="1" applyAlignment="1"/>
    <xf numFmtId="167" fontId="13" fillId="0" borderId="14" xfId="2" applyFont="1" applyFill="1" applyBorder="1" applyAlignment="1"/>
    <xf numFmtId="172" fontId="13" fillId="0" borderId="23" xfId="12" applyFont="1" applyBorder="1" applyAlignment="1"/>
    <xf numFmtId="172" fontId="13" fillId="0" borderId="15" xfId="12" applyFont="1" applyBorder="1" applyAlignment="1"/>
    <xf numFmtId="178" fontId="13" fillId="0" borderId="15" xfId="0" applyNumberFormat="1" applyFont="1" applyBorder="1"/>
    <xf numFmtId="179" fontId="13" fillId="0" borderId="24" xfId="0" applyNumberFormat="1" applyFont="1" applyBorder="1"/>
    <xf numFmtId="177" fontId="13" fillId="0" borderId="0" xfId="14" applyNumberFormat="1" applyFont="1"/>
    <xf numFmtId="49" fontId="13" fillId="0" borderId="14" xfId="0" applyNumberFormat="1" applyFont="1" applyBorder="1" applyAlignment="1">
      <alignment vertical="top"/>
    </xf>
    <xf numFmtId="0" fontId="13" fillId="0" borderId="15" xfId="0" applyFont="1" applyBorder="1" applyAlignment="1">
      <alignment vertical="top"/>
    </xf>
    <xf numFmtId="1" fontId="13" fillId="12" borderId="14" xfId="0" applyNumberFormat="1" applyFont="1" applyFill="1" applyBorder="1"/>
    <xf numFmtId="0" fontId="13" fillId="12" borderId="15" xfId="0" applyFont="1" applyFill="1" applyBorder="1"/>
    <xf numFmtId="0" fontId="13" fillId="12" borderId="15" xfId="0" applyFont="1" applyFill="1" applyBorder="1" applyAlignment="1">
      <alignment wrapText="1"/>
    </xf>
    <xf numFmtId="167" fontId="13" fillId="12" borderId="15" xfId="2" applyFont="1" applyFill="1" applyBorder="1" applyAlignment="1"/>
    <xf numFmtId="167" fontId="21" fillId="12" borderId="22" xfId="2" applyFont="1" applyFill="1" applyBorder="1" applyAlignment="1"/>
    <xf numFmtId="0" fontId="13" fillId="0" borderId="14" xfId="0" applyFont="1" applyBorder="1" applyAlignment="1">
      <alignment vertical="top"/>
    </xf>
    <xf numFmtId="168" fontId="13" fillId="0" borderId="15" xfId="0" applyNumberFormat="1" applyFont="1" applyBorder="1"/>
    <xf numFmtId="170" fontId="13" fillId="0" borderId="15" xfId="0" applyNumberFormat="1" applyFont="1" applyBorder="1"/>
    <xf numFmtId="172" fontId="13" fillId="0" borderId="25" xfId="12" applyFont="1" applyBorder="1" applyAlignment="1"/>
    <xf numFmtId="0" fontId="13" fillId="0" borderId="26" xfId="0" applyFont="1" applyBorder="1"/>
    <xf numFmtId="172" fontId="13" fillId="0" borderId="26" xfId="12" applyFont="1" applyBorder="1" applyAlignment="1"/>
    <xf numFmtId="167" fontId="13" fillId="0" borderId="26" xfId="2" applyFont="1" applyFill="1" applyBorder="1" applyAlignment="1"/>
    <xf numFmtId="178" fontId="13" fillId="0" borderId="26" xfId="0" applyNumberFormat="1" applyFont="1" applyBorder="1"/>
    <xf numFmtId="179" fontId="13" fillId="0" borderId="27" xfId="0" applyNumberFormat="1" applyFont="1" applyBorder="1"/>
    <xf numFmtId="0" fontId="13" fillId="0" borderId="1" xfId="0" applyFont="1" applyBorder="1" applyProtection="1">
      <protection hidden="1"/>
    </xf>
    <xf numFmtId="0" fontId="13" fillId="0" borderId="17" xfId="0" applyFont="1" applyBorder="1" applyProtection="1">
      <protection hidden="1"/>
    </xf>
    <xf numFmtId="0" fontId="18" fillId="0" borderId="18" xfId="0" applyFont="1" applyBorder="1" applyAlignment="1" applyProtection="1">
      <alignment horizontal="right"/>
      <protection hidden="1"/>
    </xf>
    <xf numFmtId="0" fontId="13" fillId="0" borderId="1" xfId="0" applyFont="1" applyBorder="1" applyAlignment="1" applyProtection="1">
      <alignment horizontal="right"/>
      <protection hidden="1"/>
    </xf>
    <xf numFmtId="167" fontId="18" fillId="0" borderId="19" xfId="2" applyFont="1" applyFill="1" applyBorder="1" applyAlignment="1" applyProtection="1">
      <protection hidden="1"/>
    </xf>
    <xf numFmtId="167" fontId="18" fillId="0" borderId="17" xfId="2" applyFont="1" applyFill="1" applyBorder="1" applyAlignment="1" applyProtection="1">
      <protection hidden="1"/>
    </xf>
    <xf numFmtId="0" fontId="13" fillId="0" borderId="19" xfId="0" applyFont="1" applyBorder="1"/>
    <xf numFmtId="0" fontId="13" fillId="0" borderId="0" xfId="0" applyFont="1" applyProtection="1">
      <protection hidden="1"/>
    </xf>
    <xf numFmtId="0" fontId="18" fillId="0" borderId="7" xfId="0" applyFont="1" applyBorder="1" applyAlignment="1" applyProtection="1">
      <alignment horizontal="right"/>
      <protection hidden="1"/>
    </xf>
    <xf numFmtId="0" fontId="13" fillId="0" borderId="7" xfId="0" applyFont="1" applyBorder="1" applyAlignment="1" applyProtection="1">
      <alignment horizontal="right"/>
      <protection hidden="1"/>
    </xf>
    <xf numFmtId="167" fontId="18" fillId="0" borderId="7" xfId="2" applyFont="1" applyFill="1" applyBorder="1" applyAlignment="1" applyProtection="1">
      <protection hidden="1"/>
    </xf>
    <xf numFmtId="167" fontId="18" fillId="0" borderId="9" xfId="2" applyFont="1" applyFill="1" applyBorder="1" applyAlignment="1" applyProtection="1">
      <protection hidden="1"/>
    </xf>
    <xf numFmtId="0" fontId="18" fillId="0" borderId="4" xfId="0" applyFont="1" applyBorder="1" applyAlignment="1" applyProtection="1">
      <alignment horizontal="right"/>
      <protection hidden="1"/>
    </xf>
    <xf numFmtId="9" fontId="13" fillId="0" borderId="4" xfId="0" applyNumberFormat="1" applyFont="1" applyBorder="1" applyAlignment="1" applyProtection="1">
      <alignment horizontal="right"/>
      <protection hidden="1"/>
    </xf>
    <xf numFmtId="167" fontId="18" fillId="0" borderId="4" xfId="2" applyFont="1" applyFill="1" applyBorder="1" applyAlignment="1" applyProtection="1">
      <protection hidden="1"/>
    </xf>
    <xf numFmtId="0" fontId="18" fillId="0" borderId="20" xfId="0" applyFont="1" applyBorder="1" applyAlignment="1" applyProtection="1">
      <alignment horizontal="right"/>
      <protection hidden="1"/>
    </xf>
    <xf numFmtId="0" fontId="13" fillId="0" borderId="20" xfId="0" applyFont="1" applyBorder="1" applyAlignment="1" applyProtection="1">
      <alignment horizontal="right"/>
      <protection hidden="1"/>
    </xf>
    <xf numFmtId="167" fontId="18" fillId="0" borderId="20" xfId="2" applyFont="1" applyFill="1" applyBorder="1" applyAlignment="1" applyProtection="1">
      <protection hidden="1"/>
    </xf>
    <xf numFmtId="167" fontId="18" fillId="0" borderId="21" xfId="2" applyFont="1" applyFill="1" applyBorder="1" applyAlignment="1" applyProtection="1">
      <protection hidden="1"/>
    </xf>
    <xf numFmtId="170" fontId="9" fillId="0" borderId="3" xfId="8" applyFont="1" applyBorder="1"/>
  </cellXfs>
  <cellStyles count="201">
    <cellStyle name="%" xfId="20" xr:uid="{00000000-0005-0000-0000-000000000000}"/>
    <cellStyle name="Aantal" xfId="21" xr:uid="{00000000-0005-0000-0000-000001000000}"/>
    <cellStyle name="ArticleStyle" xfId="1" xr:uid="{00000000-0005-0000-0000-000002000000}"/>
    <cellStyle name="ArticleStyle 2" xfId="22" xr:uid="{00000000-0005-0000-0000-000003000000}"/>
    <cellStyle name="Artikel" xfId="23" xr:uid="{00000000-0005-0000-0000-000004000000}"/>
    <cellStyle name="Comma0" xfId="16" xr:uid="{00000000-0005-0000-0000-000005000000}"/>
    <cellStyle name="D_TQ_0" xfId="195" xr:uid="{A621972D-D073-4B7C-A970-BE6D82DA4F79}"/>
    <cellStyle name="D_TQ_2" xfId="196" xr:uid="{09F107A1-E4ED-4A72-993A-0E55F5BF8019}"/>
    <cellStyle name="D_TQ_3" xfId="197" xr:uid="{2FC0EDE8-5E75-4EF8-BA6E-982D8D43E795}"/>
    <cellStyle name="dag" xfId="24" xr:uid="{00000000-0005-0000-0000-000006000000}"/>
    <cellStyle name="dm²" xfId="25" xr:uid="{00000000-0005-0000-0000-000007000000}"/>
    <cellStyle name="dm³" xfId="26" xr:uid="{00000000-0005-0000-0000-000008000000}"/>
    <cellStyle name="Eur/u" xfId="27" xr:uid="{00000000-0005-0000-0000-000009000000}"/>
    <cellStyle name="Eur/u 2" xfId="91" xr:uid="{00000000-0005-0000-0000-00000A000000}"/>
    <cellStyle name="FF" xfId="28" xr:uid="{00000000-0005-0000-0000-00000B000000}"/>
    <cellStyle name="Fixed" xfId="17" xr:uid="{00000000-0005-0000-0000-00000C000000}"/>
    <cellStyle name="GP" xfId="29" xr:uid="{00000000-0005-0000-0000-00000D000000}"/>
    <cellStyle name="hl" xfId="30" xr:uid="{00000000-0005-0000-0000-00000E000000}"/>
    <cellStyle name="hr" xfId="31" xr:uid="{00000000-0005-0000-0000-00000F000000}"/>
    <cellStyle name="jour" xfId="32" xr:uid="{00000000-0005-0000-0000-000010000000}"/>
    <cellStyle name="kg" xfId="9" xr:uid="{00000000-0005-0000-0000-000011000000}"/>
    <cellStyle name="kW" xfId="33" xr:uid="{00000000-0005-0000-0000-000012000000}"/>
    <cellStyle name="l" xfId="34" xr:uid="{00000000-0005-0000-0000-000013000000}"/>
    <cellStyle name="lm" xfId="35" xr:uid="{00000000-0005-0000-0000-000014000000}"/>
    <cellStyle name="m" xfId="8" xr:uid="{00000000-0005-0000-0000-000015000000}"/>
    <cellStyle name="m_Book1" xfId="36" xr:uid="{00000000-0005-0000-0000-000016000000}"/>
    <cellStyle name="m_measure2008" xfId="37" xr:uid="{00000000-0005-0000-0000-000017000000}"/>
    <cellStyle name="m_Vord_gegevens_dialog" xfId="38" xr:uid="{00000000-0005-0000-0000-000018000000}"/>
    <cellStyle name="m_Vord_module" xfId="39" xr:uid="{00000000-0005-0000-0000-000019000000}"/>
    <cellStyle name="m1" xfId="40" xr:uid="{00000000-0005-0000-0000-00001A000000}"/>
    <cellStyle name="m2" xfId="6" xr:uid="{00000000-0005-0000-0000-00001B000000}"/>
    <cellStyle name="m²" xfId="41" xr:uid="{00000000-0005-0000-0000-00001C000000}"/>
    <cellStyle name="m2_Book1" xfId="42" xr:uid="{00000000-0005-0000-0000-00001D000000}"/>
    <cellStyle name="m3" xfId="7" xr:uid="{00000000-0005-0000-0000-00001E000000}"/>
    <cellStyle name="m³" xfId="43" xr:uid="{00000000-0005-0000-0000-00001F000000}"/>
    <cellStyle name="m3_Book1" xfId="44" xr:uid="{00000000-0005-0000-0000-000020000000}"/>
    <cellStyle name="marche" xfId="45" xr:uid="{00000000-0005-0000-0000-000021000000}"/>
    <cellStyle name="mc" xfId="46" xr:uid="{00000000-0005-0000-0000-000022000000}"/>
    <cellStyle name="mnd" xfId="47" xr:uid="{00000000-0005-0000-0000-000023000000}"/>
    <cellStyle name="mois" xfId="48" xr:uid="{00000000-0005-0000-0000-000024000000}"/>
    <cellStyle name="Multiplication" xfId="4" xr:uid="{00000000-0005-0000-0000-000025000000}"/>
    <cellStyle name="Normal 2" xfId="11" xr:uid="{00000000-0005-0000-0000-000026000000}"/>
    <cellStyle name="Normal 2 2" xfId="50" xr:uid="{00000000-0005-0000-0000-000027000000}"/>
    <cellStyle name="Normal 2 3" xfId="51" xr:uid="{00000000-0005-0000-0000-000028000000}"/>
    <cellStyle name="Normal 2 4" xfId="49" xr:uid="{00000000-0005-0000-0000-000029000000}"/>
    <cellStyle name="Normal 2_Book1" xfId="52" xr:uid="{00000000-0005-0000-0000-00002A000000}"/>
    <cellStyle name="Normal 3" xfId="53" xr:uid="{00000000-0005-0000-0000-00002B000000}"/>
    <cellStyle name="Normal 3 10" xfId="142" xr:uid="{00000000-0005-0000-0000-00002C000000}"/>
    <cellStyle name="Normal 3 2" xfId="85" xr:uid="{00000000-0005-0000-0000-00002D000000}"/>
    <cellStyle name="Normal 3 2 2" xfId="89" xr:uid="{00000000-0005-0000-0000-00002E000000}"/>
    <cellStyle name="Normal 3 2 2 2" xfId="96" xr:uid="{00000000-0005-0000-0000-00002F000000}"/>
    <cellStyle name="Normal 3 2 2 2 2" xfId="114" xr:uid="{00000000-0005-0000-0000-000030000000}"/>
    <cellStyle name="Normal 3 2 2 2 2 2" xfId="167" xr:uid="{00000000-0005-0000-0000-000031000000}"/>
    <cellStyle name="Normal 3 2 2 2 3" xfId="104" xr:uid="{00000000-0005-0000-0000-000032000000}"/>
    <cellStyle name="Normal 3 2 2 2 3 2" xfId="158" xr:uid="{00000000-0005-0000-0000-000033000000}"/>
    <cellStyle name="Normal 3 2 2 2 4" xfId="123" xr:uid="{00000000-0005-0000-0000-000034000000}"/>
    <cellStyle name="Normal 3 2 2 2 4 2" xfId="176" xr:uid="{00000000-0005-0000-0000-000035000000}"/>
    <cellStyle name="Normal 3 2 2 2 5" xfId="132" xr:uid="{00000000-0005-0000-0000-000036000000}"/>
    <cellStyle name="Normal 3 2 2 2 5 2" xfId="185" xr:uid="{00000000-0005-0000-0000-000037000000}"/>
    <cellStyle name="Normal 3 2 2 2 6" xfId="141" xr:uid="{00000000-0005-0000-0000-000038000000}"/>
    <cellStyle name="Normal 3 2 2 2 6 2" xfId="194" xr:uid="{00000000-0005-0000-0000-000039000000}"/>
    <cellStyle name="Normal 3 2 2 2 7" xfId="150" xr:uid="{00000000-0005-0000-0000-00003A000000}"/>
    <cellStyle name="Normal 3 2 2 3" xfId="110" xr:uid="{00000000-0005-0000-0000-00003B000000}"/>
    <cellStyle name="Normal 3 2 2 3 2" xfId="163" xr:uid="{00000000-0005-0000-0000-00003C000000}"/>
    <cellStyle name="Normal 3 2 2 4" xfId="100" xr:uid="{00000000-0005-0000-0000-00003D000000}"/>
    <cellStyle name="Normal 3 2 2 4 2" xfId="154" xr:uid="{00000000-0005-0000-0000-00003E000000}"/>
    <cellStyle name="Normal 3 2 2 5" xfId="119" xr:uid="{00000000-0005-0000-0000-00003F000000}"/>
    <cellStyle name="Normal 3 2 2 5 2" xfId="172" xr:uid="{00000000-0005-0000-0000-000040000000}"/>
    <cellStyle name="Normal 3 2 2 6" xfId="128" xr:uid="{00000000-0005-0000-0000-000041000000}"/>
    <cellStyle name="Normal 3 2 2 6 2" xfId="181" xr:uid="{00000000-0005-0000-0000-000042000000}"/>
    <cellStyle name="Normal 3 2 2 7" xfId="137" xr:uid="{00000000-0005-0000-0000-000043000000}"/>
    <cellStyle name="Normal 3 2 2 7 2" xfId="190" xr:uid="{00000000-0005-0000-0000-000044000000}"/>
    <cellStyle name="Normal 3 2 2 8" xfId="146" xr:uid="{00000000-0005-0000-0000-000045000000}"/>
    <cellStyle name="Normal 3 2 3" xfId="94" xr:uid="{00000000-0005-0000-0000-000046000000}"/>
    <cellStyle name="Normal 3 2 3 2" xfId="112" xr:uid="{00000000-0005-0000-0000-000047000000}"/>
    <cellStyle name="Normal 3 2 3 2 2" xfId="165" xr:uid="{00000000-0005-0000-0000-000048000000}"/>
    <cellStyle name="Normal 3 2 3 3" xfId="102" xr:uid="{00000000-0005-0000-0000-000049000000}"/>
    <cellStyle name="Normal 3 2 3 3 2" xfId="156" xr:uid="{00000000-0005-0000-0000-00004A000000}"/>
    <cellStyle name="Normal 3 2 3 4" xfId="121" xr:uid="{00000000-0005-0000-0000-00004B000000}"/>
    <cellStyle name="Normal 3 2 3 4 2" xfId="174" xr:uid="{00000000-0005-0000-0000-00004C000000}"/>
    <cellStyle name="Normal 3 2 3 5" xfId="130" xr:uid="{00000000-0005-0000-0000-00004D000000}"/>
    <cellStyle name="Normal 3 2 3 5 2" xfId="183" xr:uid="{00000000-0005-0000-0000-00004E000000}"/>
    <cellStyle name="Normal 3 2 3 6" xfId="139" xr:uid="{00000000-0005-0000-0000-00004F000000}"/>
    <cellStyle name="Normal 3 2 3 6 2" xfId="192" xr:uid="{00000000-0005-0000-0000-000050000000}"/>
    <cellStyle name="Normal 3 2 3 7" xfId="148" xr:uid="{00000000-0005-0000-0000-000051000000}"/>
    <cellStyle name="Normal 3 2 4" xfId="107" xr:uid="{00000000-0005-0000-0000-000052000000}"/>
    <cellStyle name="Normal 3 2 4 2" xfId="160" xr:uid="{00000000-0005-0000-0000-000053000000}"/>
    <cellStyle name="Normal 3 2 5" xfId="98" xr:uid="{00000000-0005-0000-0000-000054000000}"/>
    <cellStyle name="Normal 3 2 5 2" xfId="152" xr:uid="{00000000-0005-0000-0000-000055000000}"/>
    <cellStyle name="Normal 3 2 6" xfId="116" xr:uid="{00000000-0005-0000-0000-000056000000}"/>
    <cellStyle name="Normal 3 2 6 2" xfId="169" xr:uid="{00000000-0005-0000-0000-000057000000}"/>
    <cellStyle name="Normal 3 2 7" xfId="125" xr:uid="{00000000-0005-0000-0000-000058000000}"/>
    <cellStyle name="Normal 3 2 7 2" xfId="178" xr:uid="{00000000-0005-0000-0000-000059000000}"/>
    <cellStyle name="Normal 3 2 8" xfId="134" xr:uid="{00000000-0005-0000-0000-00005A000000}"/>
    <cellStyle name="Normal 3 2 8 2" xfId="187" xr:uid="{00000000-0005-0000-0000-00005B000000}"/>
    <cellStyle name="Normal 3 2 9" xfId="143" xr:uid="{00000000-0005-0000-0000-00005C000000}"/>
    <cellStyle name="Normal 3 3" xfId="88" xr:uid="{00000000-0005-0000-0000-00005D000000}"/>
    <cellStyle name="Normal 3 3 2" xfId="95" xr:uid="{00000000-0005-0000-0000-00005E000000}"/>
    <cellStyle name="Normal 3 3 2 2" xfId="113" xr:uid="{00000000-0005-0000-0000-00005F000000}"/>
    <cellStyle name="Normal 3 3 2 2 2" xfId="166" xr:uid="{00000000-0005-0000-0000-000060000000}"/>
    <cellStyle name="Normal 3 3 2 3" xfId="103" xr:uid="{00000000-0005-0000-0000-000061000000}"/>
    <cellStyle name="Normal 3 3 2 3 2" xfId="157" xr:uid="{00000000-0005-0000-0000-000062000000}"/>
    <cellStyle name="Normal 3 3 2 4" xfId="122" xr:uid="{00000000-0005-0000-0000-000063000000}"/>
    <cellStyle name="Normal 3 3 2 4 2" xfId="175" xr:uid="{00000000-0005-0000-0000-000064000000}"/>
    <cellStyle name="Normal 3 3 2 5" xfId="131" xr:uid="{00000000-0005-0000-0000-000065000000}"/>
    <cellStyle name="Normal 3 3 2 5 2" xfId="184" xr:uid="{00000000-0005-0000-0000-000066000000}"/>
    <cellStyle name="Normal 3 3 2 6" xfId="140" xr:uid="{00000000-0005-0000-0000-000067000000}"/>
    <cellStyle name="Normal 3 3 2 6 2" xfId="193" xr:uid="{00000000-0005-0000-0000-000068000000}"/>
    <cellStyle name="Normal 3 3 2 7" xfId="149" xr:uid="{00000000-0005-0000-0000-000069000000}"/>
    <cellStyle name="Normal 3 3 3" xfId="109" xr:uid="{00000000-0005-0000-0000-00006A000000}"/>
    <cellStyle name="Normal 3 3 3 2" xfId="162" xr:uid="{00000000-0005-0000-0000-00006B000000}"/>
    <cellStyle name="Normal 3 3 4" xfId="99" xr:uid="{00000000-0005-0000-0000-00006C000000}"/>
    <cellStyle name="Normal 3 3 4 2" xfId="153" xr:uid="{00000000-0005-0000-0000-00006D000000}"/>
    <cellStyle name="Normal 3 3 5" xfId="118" xr:uid="{00000000-0005-0000-0000-00006E000000}"/>
    <cellStyle name="Normal 3 3 5 2" xfId="171" xr:uid="{00000000-0005-0000-0000-00006F000000}"/>
    <cellStyle name="Normal 3 3 6" xfId="127" xr:uid="{00000000-0005-0000-0000-000070000000}"/>
    <cellStyle name="Normal 3 3 6 2" xfId="180" xr:uid="{00000000-0005-0000-0000-000071000000}"/>
    <cellStyle name="Normal 3 3 7" xfId="136" xr:uid="{00000000-0005-0000-0000-000072000000}"/>
    <cellStyle name="Normal 3 3 7 2" xfId="189" xr:uid="{00000000-0005-0000-0000-000073000000}"/>
    <cellStyle name="Normal 3 3 8" xfId="145" xr:uid="{00000000-0005-0000-0000-000074000000}"/>
    <cellStyle name="Normal 3 4" xfId="92" xr:uid="{00000000-0005-0000-0000-000075000000}"/>
    <cellStyle name="Normal 3 4 2" xfId="111" xr:uid="{00000000-0005-0000-0000-000076000000}"/>
    <cellStyle name="Normal 3 4 2 2" xfId="164" xr:uid="{00000000-0005-0000-0000-000077000000}"/>
    <cellStyle name="Normal 3 4 3" xfId="101" xr:uid="{00000000-0005-0000-0000-000078000000}"/>
    <cellStyle name="Normal 3 4 3 2" xfId="155" xr:uid="{00000000-0005-0000-0000-000079000000}"/>
    <cellStyle name="Normal 3 4 4" xfId="120" xr:uid="{00000000-0005-0000-0000-00007A000000}"/>
    <cellStyle name="Normal 3 4 4 2" xfId="173" xr:uid="{00000000-0005-0000-0000-00007B000000}"/>
    <cellStyle name="Normal 3 4 5" xfId="129" xr:uid="{00000000-0005-0000-0000-00007C000000}"/>
    <cellStyle name="Normal 3 4 5 2" xfId="182" xr:uid="{00000000-0005-0000-0000-00007D000000}"/>
    <cellStyle name="Normal 3 4 6" xfId="138" xr:uid="{00000000-0005-0000-0000-00007E000000}"/>
    <cellStyle name="Normal 3 4 6 2" xfId="191" xr:uid="{00000000-0005-0000-0000-00007F000000}"/>
    <cellStyle name="Normal 3 4 7" xfId="147" xr:uid="{00000000-0005-0000-0000-000080000000}"/>
    <cellStyle name="Normal 3 5" xfId="106" xr:uid="{00000000-0005-0000-0000-000081000000}"/>
    <cellStyle name="Normal 3 5 2" xfId="159" xr:uid="{00000000-0005-0000-0000-000082000000}"/>
    <cellStyle name="Normal 3 6" xfId="97" xr:uid="{00000000-0005-0000-0000-000083000000}"/>
    <cellStyle name="Normal 3 6 2" xfId="151" xr:uid="{00000000-0005-0000-0000-000084000000}"/>
    <cellStyle name="Normal 3 7" xfId="115" xr:uid="{00000000-0005-0000-0000-000085000000}"/>
    <cellStyle name="Normal 3 7 2" xfId="168" xr:uid="{00000000-0005-0000-0000-000086000000}"/>
    <cellStyle name="Normal 3 8" xfId="124" xr:uid="{00000000-0005-0000-0000-000087000000}"/>
    <cellStyle name="Normal 3 8 2" xfId="177" xr:uid="{00000000-0005-0000-0000-000088000000}"/>
    <cellStyle name="Normal 3 9" xfId="133" xr:uid="{00000000-0005-0000-0000-000089000000}"/>
    <cellStyle name="Normal 3 9 2" xfId="186" xr:uid="{00000000-0005-0000-0000-00008A000000}"/>
    <cellStyle name="Normal 4" xfId="86" xr:uid="{00000000-0005-0000-0000-00008B000000}"/>
    <cellStyle name="Normal 4 2" xfId="198" xr:uid="{AAD112B9-9404-4532-B487-A640A3BDAC35}"/>
    <cellStyle name="p" xfId="54" xr:uid="{00000000-0005-0000-0000-00008C000000}"/>
    <cellStyle name="PG" xfId="55" xr:uid="{00000000-0005-0000-0000-00008D000000}"/>
    <cellStyle name="pièce" xfId="56" xr:uid="{00000000-0005-0000-0000-00008E000000}"/>
    <cellStyle name="PM" xfId="18" xr:uid="{00000000-0005-0000-0000-00008F000000}"/>
    <cellStyle name="PriceIncl" xfId="12" xr:uid="{00000000-0005-0000-0000-000090000000}"/>
    <cellStyle name="PriceStyle" xfId="2" xr:uid="{00000000-0005-0000-0000-000091000000}"/>
    <cellStyle name="PriceStyle 2" xfId="57" xr:uid="{00000000-0005-0000-0000-000092000000}"/>
    <cellStyle name="PriceStyle 2 2" xfId="93" xr:uid="{00000000-0005-0000-0000-000093000000}"/>
    <cellStyle name="prijs" xfId="58" xr:uid="{00000000-0005-0000-0000-000094000000}"/>
    <cellStyle name="prijs 2" xfId="59" xr:uid="{00000000-0005-0000-0000-000095000000}"/>
    <cellStyle name="PT" xfId="60" xr:uid="{00000000-0005-0000-0000-000097000000}"/>
    <cellStyle name="semaine" xfId="61" xr:uid="{00000000-0005-0000-0000-000098000000}"/>
    <cellStyle name="SOG" xfId="13" xr:uid="{00000000-0005-0000-0000-000099000000}"/>
    <cellStyle name="SR" xfId="62" xr:uid="{00000000-0005-0000-0000-00009A000000}"/>
    <cellStyle name="st" xfId="3" xr:uid="{00000000-0005-0000-0000-00009B000000}"/>
    <cellStyle name="Standaard" xfId="0" builtinId="0"/>
    <cellStyle name="Standaard 2" xfId="14" xr:uid="{00000000-0005-0000-0000-00009D000000}"/>
    <cellStyle name="Standaard 2 2" xfId="63" xr:uid="{00000000-0005-0000-0000-00009E000000}"/>
    <cellStyle name="Standaard 3" xfId="15" xr:uid="{00000000-0005-0000-0000-00009F000000}"/>
    <cellStyle name="Standaard 4" xfId="19" xr:uid="{00000000-0005-0000-0000-0000A0000000}"/>
    <cellStyle name="Standaard 5" xfId="90" xr:uid="{00000000-0005-0000-0000-0000A1000000}"/>
    <cellStyle name="Standaard 6" xfId="105" xr:uid="{00000000-0005-0000-0000-0000A2000000}"/>
    <cellStyle name="Standaard 7" xfId="199" xr:uid="{E6AC0079-AEF3-4A44-B8C0-4115A2AA99DB}"/>
    <cellStyle name="Standaard 8" xfId="200" xr:uid="{D089975B-5906-4D53-80A9-C6BF32098D9B}"/>
    <cellStyle name="stuk" xfId="64" xr:uid="{00000000-0005-0000-0000-0000A3000000}"/>
    <cellStyle name="stuk 2" xfId="65" xr:uid="{00000000-0005-0000-0000-0000A4000000}"/>
    <cellStyle name="SubarticleStyle" xfId="66" xr:uid="{00000000-0005-0000-0000-0000A5000000}"/>
    <cellStyle name="Subartikel" xfId="67" xr:uid="{00000000-0005-0000-0000-0000A6000000}"/>
    <cellStyle name="Subartikel 2" xfId="68" xr:uid="{00000000-0005-0000-0000-0000A7000000}"/>
    <cellStyle name="Subtitel" xfId="69" xr:uid="{00000000-0005-0000-0000-0000A8000000}"/>
    <cellStyle name="Subtitel 2" xfId="70" xr:uid="{00000000-0005-0000-0000-0000A9000000}"/>
    <cellStyle name="T" xfId="71" xr:uid="{00000000-0005-0000-0000-0000AA000000}"/>
    <cellStyle name="Titel 2" xfId="73" xr:uid="{00000000-0005-0000-0000-0000AB000000}"/>
    <cellStyle name="Titel 3" xfId="72" xr:uid="{00000000-0005-0000-0000-0000AC000000}"/>
    <cellStyle name="ton" xfId="74" xr:uid="{00000000-0005-0000-0000-0000AD000000}"/>
    <cellStyle name="tonne" xfId="75" xr:uid="{00000000-0005-0000-0000-0000AE000000}"/>
    <cellStyle name="totaal 2" xfId="77" xr:uid="{00000000-0005-0000-0000-0000AF000000}"/>
    <cellStyle name="totaal 3" xfId="76" xr:uid="{00000000-0005-0000-0000-0000B0000000}"/>
    <cellStyle name="TotalStyle" xfId="5" xr:uid="{00000000-0005-0000-0000-0000B1000000}"/>
    <cellStyle name="TotalStyle 2" xfId="78" xr:uid="{00000000-0005-0000-0000-0000B2000000}"/>
    <cellStyle name="TP" xfId="79" xr:uid="{00000000-0005-0000-0000-0000B3000000}"/>
    <cellStyle name="trede" xfId="80" xr:uid="{00000000-0005-0000-0000-0000B4000000}"/>
    <cellStyle name="uur" xfId="81" xr:uid="{00000000-0005-0000-0000-0000B5000000}"/>
    <cellStyle name="Valuta 2" xfId="87" xr:uid="{00000000-0005-0000-0000-0000B6000000}"/>
    <cellStyle name="Valuta 2 2" xfId="108" xr:uid="{00000000-0005-0000-0000-0000B7000000}"/>
    <cellStyle name="Valuta 2 2 2" xfId="161" xr:uid="{00000000-0005-0000-0000-0000B8000000}"/>
    <cellStyle name="Valuta 2 3" xfId="144" xr:uid="{00000000-0005-0000-0000-0000B9000000}"/>
    <cellStyle name="Valuta 3" xfId="117" xr:uid="{00000000-0005-0000-0000-0000BA000000}"/>
    <cellStyle name="Valuta 3 2" xfId="170" xr:uid="{00000000-0005-0000-0000-0000BB000000}"/>
    <cellStyle name="Valuta 4" xfId="126" xr:uid="{00000000-0005-0000-0000-0000BC000000}"/>
    <cellStyle name="Valuta 4 2" xfId="179" xr:uid="{00000000-0005-0000-0000-0000BD000000}"/>
    <cellStyle name="Valuta 5" xfId="135" xr:uid="{00000000-0005-0000-0000-0000BE000000}"/>
    <cellStyle name="Valuta 5 2" xfId="188" xr:uid="{00000000-0005-0000-0000-0000BF000000}"/>
    <cellStyle name="W" xfId="82" xr:uid="{00000000-0005-0000-0000-0000C0000000}"/>
    <cellStyle name="week" xfId="83" xr:uid="{00000000-0005-0000-0000-0000C1000000}"/>
    <cellStyle name="Wp" xfId="10" xr:uid="{00000000-0005-0000-0000-0000C2000000}"/>
    <cellStyle name="x" xfId="84" xr:uid="{00000000-0005-0000-0000-0000C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ST\AppData\Roaming\Microsoft\Excel\XLSTART\mfunc.xla" TargetMode="External"/><Relationship Id="rId1" Type="http://schemas.microsoft.com/office/2006/relationships/xlExternalLinkPath/xlStartup" Target="mfunc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lad1"/>
      <sheetName val="Macro1"/>
      <sheetName val="Functions_languageSpecific"/>
      <sheetName val="mfunc"/>
    </sheetNames>
    <definedNames>
      <definedName name="ArticleCode"/>
      <definedName name="ArticleDescription"/>
      <definedName name="ArticleMeasureType"/>
      <definedName name="ArticleMeasureUnit"/>
      <definedName name="ArticleQuantity"/>
    </definedNames>
    <sheetDataSet>
      <sheetData sheetId="0"/>
      <sheetData sheetId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D8EE1-ABCB-4F72-BE50-8DC2F3BB8578}">
  <sheetPr>
    <pageSetUpPr fitToPage="1"/>
  </sheetPr>
  <dimension ref="A1:J1042"/>
  <sheetViews>
    <sheetView showZeros="0" tabSelected="1" topLeftCell="A373" zoomScale="115" zoomScaleNormal="115" workbookViewId="0">
      <selection activeCell="B387" sqref="B387"/>
    </sheetView>
  </sheetViews>
  <sheetFormatPr defaultColWidth="0" defaultRowHeight="12.75"/>
  <cols>
    <col min="1" max="1" width="8.5703125" style="1" customWidth="1"/>
    <col min="2" max="2" width="58.42578125" style="1" customWidth="1"/>
    <col min="3" max="3" width="44" style="1" customWidth="1"/>
    <col min="4" max="4" width="19.42578125" style="1" customWidth="1"/>
    <col min="5" max="6" width="10.7109375" style="1" customWidth="1"/>
    <col min="7" max="7" width="5.7109375" style="1" customWidth="1"/>
    <col min="8" max="8" width="7.28515625" style="1" customWidth="1"/>
    <col min="9" max="9" width="12.7109375" style="1" customWidth="1"/>
    <col min="10" max="10" width="1" style="1" customWidth="1"/>
    <col min="11" max="16384" width="9.140625" style="1" hidden="1"/>
  </cols>
  <sheetData>
    <row r="1" spans="1:10" ht="7.5" hidden="1" customHeight="1">
      <c r="A1" s="3" t="s">
        <v>294</v>
      </c>
      <c r="B1" s="3" t="s">
        <v>299</v>
      </c>
      <c r="C1" s="3"/>
      <c r="D1" s="3"/>
      <c r="E1" s="3"/>
      <c r="F1" s="3"/>
      <c r="G1" s="3"/>
      <c r="H1" s="3"/>
      <c r="I1" s="3"/>
      <c r="J1" s="3"/>
    </row>
    <row r="3" spans="1:10">
      <c r="A3" s="1" t="s">
        <v>3</v>
      </c>
      <c r="B3" s="27" t="s">
        <v>472</v>
      </c>
      <c r="F3" s="28"/>
    </row>
    <row r="4" spans="1:10">
      <c r="A4" s="1" t="s">
        <v>0</v>
      </c>
      <c r="B4" s="28" t="s">
        <v>475</v>
      </c>
      <c r="F4" s="28"/>
    </row>
    <row r="5" spans="1:10">
      <c r="A5" s="1" t="s">
        <v>1</v>
      </c>
      <c r="B5" s="29" t="s">
        <v>473</v>
      </c>
    </row>
    <row r="6" spans="1:10">
      <c r="A6" s="1" t="s">
        <v>2</v>
      </c>
      <c r="B6" s="29" t="s">
        <v>474</v>
      </c>
      <c r="I6" s="4"/>
      <c r="J6" s="4"/>
    </row>
    <row r="7" spans="1:10">
      <c r="A7" s="5"/>
      <c r="B7" s="5"/>
      <c r="C7" s="5"/>
      <c r="D7" s="5"/>
      <c r="E7" s="5"/>
      <c r="F7" s="5"/>
      <c r="G7" s="5"/>
      <c r="H7" s="5"/>
      <c r="I7" s="5"/>
      <c r="J7" s="5"/>
    </row>
    <row r="10" spans="1:10">
      <c r="A10" s="6" t="s">
        <v>4</v>
      </c>
      <c r="B10" s="19" t="s">
        <v>5</v>
      </c>
      <c r="C10" s="19"/>
      <c r="D10" s="19"/>
      <c r="E10" s="19"/>
      <c r="F10" s="19"/>
      <c r="G10" s="19"/>
      <c r="H10" s="19"/>
      <c r="I10" s="19"/>
    </row>
    <row r="13" spans="1:10">
      <c r="A13" s="6" t="s">
        <v>6</v>
      </c>
      <c r="B13" s="19" t="s">
        <v>7</v>
      </c>
      <c r="C13" s="19"/>
      <c r="D13" s="19"/>
      <c r="E13" s="19"/>
      <c r="F13" s="19"/>
      <c r="G13" s="19"/>
      <c r="H13" s="19"/>
      <c r="I13" s="19"/>
    </row>
    <row r="16" spans="1:10">
      <c r="A16" s="6" t="s">
        <v>8</v>
      </c>
      <c r="B16" s="19" t="s">
        <v>9</v>
      </c>
      <c r="C16" s="19"/>
      <c r="D16" s="19"/>
      <c r="E16" s="19"/>
      <c r="F16" s="19"/>
      <c r="G16" s="19"/>
      <c r="H16" s="19"/>
      <c r="I16" s="19"/>
    </row>
    <row r="19" spans="1:9">
      <c r="A19" s="6" t="s">
        <v>10</v>
      </c>
      <c r="B19" s="19" t="s">
        <v>11</v>
      </c>
      <c r="C19" s="19"/>
      <c r="D19" s="19"/>
      <c r="E19" s="19"/>
      <c r="F19" s="19"/>
      <c r="G19" s="19"/>
      <c r="H19" s="19"/>
      <c r="I19" s="19"/>
    </row>
    <row r="22" spans="1:9">
      <c r="A22" s="6" t="s">
        <v>12</v>
      </c>
      <c r="B22" s="19" t="s">
        <v>13</v>
      </c>
      <c r="C22" s="19"/>
      <c r="D22" s="19"/>
      <c r="E22" s="19"/>
      <c r="F22" s="19"/>
      <c r="G22" s="19"/>
      <c r="H22" s="19"/>
      <c r="I22" s="19"/>
    </row>
    <row r="25" spans="1:9">
      <c r="A25" s="6" t="s">
        <v>14</v>
      </c>
      <c r="B25" s="19" t="s">
        <v>15</v>
      </c>
      <c r="C25" s="19"/>
      <c r="D25" s="19"/>
      <c r="E25" s="19"/>
      <c r="F25" s="19"/>
      <c r="G25" s="19"/>
      <c r="H25" s="19"/>
      <c r="I25" s="19"/>
    </row>
    <row r="28" spans="1:9">
      <c r="A28" s="6" t="s">
        <v>16</v>
      </c>
      <c r="B28" s="19" t="s">
        <v>17</v>
      </c>
      <c r="C28" s="19"/>
      <c r="D28" s="19"/>
      <c r="E28" s="19"/>
      <c r="F28" s="19"/>
      <c r="G28" s="19"/>
      <c r="H28" s="19"/>
      <c r="I28" s="19"/>
    </row>
    <row r="31" spans="1:9">
      <c r="A31" s="6" t="s">
        <v>18</v>
      </c>
      <c r="B31" s="19" t="s">
        <v>19</v>
      </c>
      <c r="C31" s="19"/>
      <c r="D31" s="19"/>
      <c r="E31" s="19"/>
      <c r="F31" s="19"/>
      <c r="G31" s="19"/>
      <c r="H31" s="19"/>
      <c r="I31" s="19"/>
    </row>
    <row r="34" spans="1:9">
      <c r="A34" s="6" t="s">
        <v>20</v>
      </c>
      <c r="B34" s="19" t="s">
        <v>21</v>
      </c>
      <c r="C34" s="19"/>
      <c r="D34" s="19"/>
      <c r="E34" s="19"/>
      <c r="F34" s="19"/>
      <c r="G34" s="19"/>
      <c r="H34" s="19"/>
      <c r="I34" s="19"/>
    </row>
    <row r="37" spans="1:9">
      <c r="A37" s="6" t="s">
        <v>22</v>
      </c>
      <c r="B37" s="19" t="s">
        <v>23</v>
      </c>
      <c r="C37" s="19"/>
      <c r="D37" s="19"/>
      <c r="E37" s="19"/>
      <c r="F37" s="19"/>
      <c r="G37" s="19"/>
      <c r="H37" s="19"/>
      <c r="I37" s="19"/>
    </row>
    <row r="40" spans="1:9">
      <c r="A40" s="6" t="s">
        <v>24</v>
      </c>
      <c r="B40" s="19" t="s">
        <v>25</v>
      </c>
      <c r="C40" s="19"/>
      <c r="D40" s="19"/>
      <c r="E40" s="19"/>
      <c r="F40" s="19"/>
      <c r="G40" s="19"/>
      <c r="H40" s="19"/>
      <c r="I40" s="19"/>
    </row>
    <row r="43" spans="1:9">
      <c r="A43" s="6" t="s">
        <v>26</v>
      </c>
      <c r="B43" s="19" t="s">
        <v>27</v>
      </c>
      <c r="C43" s="19"/>
      <c r="D43" s="19"/>
      <c r="E43" s="19"/>
      <c r="F43" s="19"/>
      <c r="G43" s="19"/>
      <c r="H43" s="19"/>
      <c r="I43" s="19"/>
    </row>
    <row r="46" spans="1:9">
      <c r="A46" s="6" t="s">
        <v>28</v>
      </c>
      <c r="B46" s="19" t="s">
        <v>29</v>
      </c>
      <c r="C46" s="19"/>
      <c r="D46" s="19"/>
      <c r="E46" s="19"/>
      <c r="F46" s="19"/>
      <c r="G46" s="19"/>
      <c r="H46" s="19"/>
      <c r="I46" s="19"/>
    </row>
    <row r="49" spans="1:9">
      <c r="A49" s="6" t="s">
        <v>30</v>
      </c>
      <c r="B49" s="19" t="s">
        <v>31</v>
      </c>
      <c r="C49" s="19"/>
      <c r="D49" s="19"/>
      <c r="E49" s="19"/>
      <c r="F49" s="19"/>
      <c r="G49" s="19"/>
      <c r="H49" s="19"/>
      <c r="I49" s="19"/>
    </row>
    <row r="52" spans="1:9">
      <c r="A52" s="7" t="s">
        <v>32</v>
      </c>
      <c r="B52" s="19" t="s">
        <v>33</v>
      </c>
      <c r="C52" s="19"/>
      <c r="D52" s="19"/>
      <c r="E52" s="19"/>
      <c r="F52" s="19"/>
      <c r="G52" s="19"/>
      <c r="H52" s="19"/>
      <c r="I52" s="19"/>
    </row>
    <row r="53" spans="1:9">
      <c r="A53" s="2"/>
      <c r="B53" s="2"/>
      <c r="C53" s="2"/>
      <c r="D53" s="16" t="s">
        <v>74</v>
      </c>
      <c r="E53" s="12"/>
      <c r="F53" s="12"/>
      <c r="G53" s="17"/>
      <c r="H53" s="12" t="s">
        <v>297</v>
      </c>
      <c r="I53" s="10"/>
    </row>
    <row r="56" spans="1:9">
      <c r="A56" s="7" t="s">
        <v>34</v>
      </c>
      <c r="B56" s="19" t="s">
        <v>35</v>
      </c>
      <c r="C56" s="19"/>
      <c r="D56" s="19"/>
      <c r="E56" s="19"/>
      <c r="F56" s="19"/>
      <c r="G56" s="19"/>
      <c r="H56" s="19"/>
      <c r="I56" s="19"/>
    </row>
    <row r="57" spans="1:9">
      <c r="C57" s="2"/>
      <c r="D57" s="16" t="s">
        <v>74</v>
      </c>
      <c r="E57" s="12"/>
      <c r="F57" s="12"/>
      <c r="G57" s="17"/>
      <c r="H57" s="12" t="s">
        <v>297</v>
      </c>
      <c r="I57" s="10"/>
    </row>
    <row r="60" spans="1:9">
      <c r="A60" s="7" t="s">
        <v>36</v>
      </c>
      <c r="B60" s="19" t="s">
        <v>37</v>
      </c>
      <c r="C60" s="19"/>
      <c r="D60" s="19"/>
      <c r="E60" s="19"/>
      <c r="F60" s="19"/>
      <c r="G60" s="19"/>
      <c r="H60" s="19"/>
      <c r="I60" s="19"/>
    </row>
    <row r="61" spans="1:9">
      <c r="D61" s="16" t="s">
        <v>74</v>
      </c>
      <c r="E61" s="12"/>
      <c r="F61" s="12"/>
      <c r="G61" s="17"/>
      <c r="H61" s="12" t="s">
        <v>297</v>
      </c>
      <c r="I61" s="10"/>
    </row>
    <row r="64" spans="1:9">
      <c r="A64" s="7" t="s">
        <v>38</v>
      </c>
      <c r="B64" s="19" t="s">
        <v>39</v>
      </c>
      <c r="C64" s="19"/>
      <c r="D64" s="19"/>
      <c r="E64" s="19"/>
      <c r="F64" s="19"/>
      <c r="G64" s="19"/>
      <c r="H64" s="19"/>
      <c r="I64" s="19"/>
    </row>
    <row r="65" spans="1:9">
      <c r="D65" s="16" t="s">
        <v>74</v>
      </c>
      <c r="E65" s="12"/>
      <c r="F65" s="12"/>
      <c r="G65" s="17"/>
      <c r="H65" s="12" t="s">
        <v>297</v>
      </c>
      <c r="I65" s="10"/>
    </row>
    <row r="68" spans="1:9">
      <c r="A68" s="7" t="s">
        <v>40</v>
      </c>
      <c r="B68" s="19" t="s">
        <v>41</v>
      </c>
      <c r="C68" s="19"/>
      <c r="D68" s="19"/>
      <c r="E68" s="19"/>
      <c r="F68" s="19"/>
      <c r="G68" s="19"/>
      <c r="H68" s="19"/>
      <c r="I68" s="19"/>
    </row>
    <row r="69" spans="1:9">
      <c r="D69" s="16" t="s">
        <v>74</v>
      </c>
      <c r="E69" s="12"/>
      <c r="F69" s="12"/>
      <c r="G69" s="17"/>
      <c r="H69" s="12" t="s">
        <v>297</v>
      </c>
      <c r="I69" s="10"/>
    </row>
    <row r="72" spans="1:9">
      <c r="A72" s="7" t="s">
        <v>42</v>
      </c>
      <c r="B72" s="19" t="s">
        <v>43</v>
      </c>
      <c r="C72" s="19"/>
      <c r="D72" s="19"/>
      <c r="E72" s="19"/>
      <c r="F72" s="19"/>
      <c r="G72" s="19"/>
      <c r="H72" s="19"/>
      <c r="I72" s="19"/>
    </row>
    <row r="73" spans="1:9">
      <c r="D73" s="16" t="s">
        <v>74</v>
      </c>
      <c r="E73" s="12"/>
      <c r="F73" s="12"/>
      <c r="G73" s="17"/>
      <c r="H73" s="12" t="s">
        <v>297</v>
      </c>
      <c r="I73" s="10"/>
    </row>
    <row r="76" spans="1:9">
      <c r="A76" s="7" t="s">
        <v>44</v>
      </c>
      <c r="B76" s="19" t="s">
        <v>45</v>
      </c>
      <c r="C76" s="19"/>
      <c r="D76" s="19"/>
      <c r="E76" s="19"/>
      <c r="F76" s="19"/>
      <c r="G76" s="19"/>
      <c r="H76" s="19"/>
      <c r="I76" s="19"/>
    </row>
    <row r="77" spans="1:9">
      <c r="D77" s="16" t="s">
        <v>74</v>
      </c>
      <c r="E77" s="12"/>
      <c r="F77" s="12"/>
      <c r="G77" s="17"/>
      <c r="H77" s="12" t="s">
        <v>297</v>
      </c>
      <c r="I77" s="10"/>
    </row>
    <row r="80" spans="1:9">
      <c r="A80" s="7" t="s">
        <v>46</v>
      </c>
      <c r="B80" s="19" t="s">
        <v>47</v>
      </c>
      <c r="C80" s="19"/>
      <c r="D80" s="19"/>
      <c r="E80" s="19"/>
      <c r="F80" s="19"/>
      <c r="G80" s="19"/>
      <c r="H80" s="19"/>
      <c r="I80" s="19"/>
    </row>
    <row r="81" spans="1:9">
      <c r="D81" s="16" t="s">
        <v>74</v>
      </c>
      <c r="E81" s="12"/>
      <c r="F81" s="12"/>
      <c r="G81" s="17"/>
      <c r="H81" s="12" t="s">
        <v>297</v>
      </c>
      <c r="I81" s="10"/>
    </row>
    <row r="84" spans="1:9">
      <c r="A84" s="6" t="s">
        <v>48</v>
      </c>
      <c r="B84" s="19" t="s">
        <v>49</v>
      </c>
      <c r="C84" s="19"/>
      <c r="D84" s="19"/>
      <c r="E84" s="19"/>
      <c r="F84" s="19"/>
      <c r="G84" s="19"/>
      <c r="H84" s="19"/>
      <c r="I84" s="19"/>
    </row>
    <row r="87" spans="1:9">
      <c r="A87" s="7" t="s">
        <v>50</v>
      </c>
      <c r="B87" s="19" t="s">
        <v>51</v>
      </c>
      <c r="C87" s="19"/>
      <c r="D87" s="19"/>
      <c r="E87" s="19"/>
      <c r="F87" s="19"/>
      <c r="G87" s="19"/>
      <c r="H87" s="19"/>
      <c r="I87" s="19"/>
    </row>
    <row r="88" spans="1:9">
      <c r="D88" s="16" t="s">
        <v>74</v>
      </c>
      <c r="E88" s="12"/>
      <c r="F88" s="12"/>
      <c r="G88" s="17"/>
      <c r="H88" s="12" t="s">
        <v>297</v>
      </c>
      <c r="I88" s="10"/>
    </row>
    <row r="91" spans="1:9">
      <c r="A91" s="7" t="s">
        <v>52</v>
      </c>
      <c r="B91" s="19" t="s">
        <v>53</v>
      </c>
      <c r="C91" s="19"/>
      <c r="D91" s="19"/>
      <c r="E91" s="19"/>
      <c r="F91" s="19"/>
      <c r="G91" s="19"/>
      <c r="H91" s="19"/>
      <c r="I91" s="19"/>
    </row>
    <row r="92" spans="1:9">
      <c r="D92" s="16" t="s">
        <v>74</v>
      </c>
      <c r="E92" s="12"/>
      <c r="F92" s="12"/>
      <c r="G92" s="17"/>
      <c r="H92" s="12" t="s">
        <v>297</v>
      </c>
      <c r="I92" s="10"/>
    </row>
    <row r="95" spans="1:9">
      <c r="A95" s="7" t="s">
        <v>54</v>
      </c>
      <c r="B95" s="19" t="s">
        <v>55</v>
      </c>
      <c r="C95" s="19"/>
      <c r="D95" s="19"/>
      <c r="E95" s="19"/>
      <c r="F95" s="19"/>
      <c r="G95" s="19"/>
      <c r="H95" s="19"/>
      <c r="I95" s="19"/>
    </row>
    <row r="96" spans="1:9">
      <c r="D96" s="16" t="s">
        <v>74</v>
      </c>
      <c r="E96" s="12"/>
      <c r="F96" s="12"/>
      <c r="G96" s="17"/>
      <c r="H96" s="12" t="s">
        <v>297</v>
      </c>
      <c r="I96" s="10"/>
    </row>
    <row r="99" spans="1:9">
      <c r="A99" s="6" t="s">
        <v>56</v>
      </c>
      <c r="B99" s="19" t="s">
        <v>57</v>
      </c>
      <c r="C99" s="19"/>
      <c r="D99" s="19"/>
      <c r="E99" s="19"/>
      <c r="F99" s="19"/>
      <c r="G99" s="19"/>
      <c r="H99" s="19"/>
      <c r="I99" s="19"/>
    </row>
    <row r="102" spans="1:9">
      <c r="A102" s="7" t="s">
        <v>58</v>
      </c>
      <c r="B102" s="19" t="s">
        <v>59</v>
      </c>
      <c r="C102" s="19"/>
      <c r="D102" s="19"/>
      <c r="E102" s="19"/>
      <c r="F102" s="19"/>
      <c r="G102" s="19"/>
      <c r="H102" s="19"/>
      <c r="I102" s="19"/>
    </row>
    <row r="103" spans="1:9">
      <c r="D103" s="16" t="s">
        <v>74</v>
      </c>
      <c r="E103" s="12"/>
      <c r="F103" s="12"/>
      <c r="G103" s="17"/>
      <c r="H103" s="12" t="s">
        <v>297</v>
      </c>
      <c r="I103" s="10"/>
    </row>
    <row r="106" spans="1:9">
      <c r="A106" s="7" t="s">
        <v>60</v>
      </c>
      <c r="B106" s="19" t="s">
        <v>61</v>
      </c>
      <c r="C106" s="19"/>
      <c r="D106" s="19"/>
      <c r="E106" s="19"/>
      <c r="F106" s="19"/>
      <c r="G106" s="19"/>
      <c r="H106" s="19"/>
      <c r="I106" s="19"/>
    </row>
    <row r="107" spans="1:9">
      <c r="D107" s="16" t="s">
        <v>74</v>
      </c>
      <c r="E107" s="12"/>
      <c r="F107" s="12"/>
      <c r="G107" s="17"/>
      <c r="H107" s="12" t="s">
        <v>297</v>
      </c>
      <c r="I107" s="10"/>
    </row>
    <row r="110" spans="1:9">
      <c r="A110" s="7" t="s">
        <v>62</v>
      </c>
      <c r="B110" s="19" t="s">
        <v>63</v>
      </c>
      <c r="C110" s="19"/>
      <c r="D110" s="19"/>
      <c r="E110" s="19"/>
      <c r="F110" s="19"/>
      <c r="G110" s="19"/>
      <c r="H110" s="19"/>
      <c r="I110" s="19"/>
    </row>
    <row r="111" spans="1:9">
      <c r="D111" s="16" t="s">
        <v>74</v>
      </c>
      <c r="E111" s="12"/>
      <c r="F111" s="12"/>
      <c r="G111" s="17"/>
      <c r="H111" s="12" t="s">
        <v>297</v>
      </c>
      <c r="I111" s="10"/>
    </row>
    <row r="114" spans="1:9">
      <c r="A114" s="7" t="s">
        <v>64</v>
      </c>
      <c r="B114" s="19" t="s">
        <v>65</v>
      </c>
      <c r="C114" s="19"/>
      <c r="D114" s="19"/>
      <c r="E114" s="19"/>
      <c r="F114" s="19"/>
      <c r="G114" s="19"/>
      <c r="H114" s="19"/>
      <c r="I114" s="19"/>
    </row>
    <row r="115" spans="1:9">
      <c r="D115" s="16" t="s">
        <v>74</v>
      </c>
      <c r="E115" s="12"/>
      <c r="F115" s="12"/>
      <c r="G115" s="17"/>
      <c r="H115" s="12" t="s">
        <v>297</v>
      </c>
      <c r="I115" s="10"/>
    </row>
    <row r="118" spans="1:9">
      <c r="A118" s="6" t="s">
        <v>66</v>
      </c>
      <c r="B118" s="19" t="s">
        <v>67</v>
      </c>
      <c r="C118" s="19"/>
      <c r="D118" s="19"/>
      <c r="E118" s="19"/>
      <c r="F118" s="19"/>
      <c r="G118" s="19"/>
      <c r="H118" s="19"/>
      <c r="I118" s="19"/>
    </row>
    <row r="121" spans="1:9">
      <c r="A121" s="6" t="s">
        <v>68</v>
      </c>
      <c r="B121" s="19" t="s">
        <v>69</v>
      </c>
      <c r="C121" s="19"/>
      <c r="D121" s="19"/>
      <c r="E121" s="19"/>
      <c r="F121" s="19"/>
      <c r="G121" s="19"/>
      <c r="H121" s="19"/>
      <c r="I121" s="19"/>
    </row>
    <row r="124" spans="1:9">
      <c r="A124" s="6" t="s">
        <v>77</v>
      </c>
      <c r="B124" s="19" t="s">
        <v>78</v>
      </c>
      <c r="C124" s="19"/>
      <c r="D124" s="19"/>
      <c r="E124" s="19"/>
      <c r="F124" s="19"/>
      <c r="G124" s="19"/>
      <c r="H124" s="19"/>
      <c r="I124" s="19"/>
    </row>
    <row r="127" spans="1:9">
      <c r="A127" s="7" t="s">
        <v>79</v>
      </c>
      <c r="B127" s="19" t="s">
        <v>80</v>
      </c>
      <c r="C127" s="19"/>
      <c r="D127" s="19"/>
      <c r="E127" s="19"/>
      <c r="F127" s="19"/>
      <c r="G127" s="19"/>
      <c r="H127" s="19"/>
      <c r="I127" s="19"/>
    </row>
    <row r="130" spans="1:9">
      <c r="A130" s="8" t="s">
        <v>301</v>
      </c>
      <c r="B130" s="19" t="s">
        <v>300</v>
      </c>
      <c r="C130" s="19"/>
      <c r="D130" s="19"/>
      <c r="E130" s="19"/>
      <c r="F130" s="19"/>
      <c r="G130" s="19"/>
      <c r="H130" s="19"/>
      <c r="I130" s="19"/>
    </row>
    <row r="131" spans="1:9">
      <c r="D131" s="16" t="s">
        <v>74</v>
      </c>
      <c r="E131" s="12"/>
      <c r="F131" s="12"/>
      <c r="G131" s="17"/>
      <c r="H131" s="12" t="s">
        <v>297</v>
      </c>
      <c r="I131" s="10"/>
    </row>
    <row r="134" spans="1:9">
      <c r="A134" s="6" t="s">
        <v>81</v>
      </c>
      <c r="B134" s="19" t="s">
        <v>82</v>
      </c>
      <c r="C134" s="19"/>
      <c r="D134" s="19"/>
      <c r="E134" s="19"/>
      <c r="F134" s="19"/>
      <c r="G134" s="19"/>
      <c r="H134" s="19"/>
      <c r="I134" s="19"/>
    </row>
    <row r="137" spans="1:9">
      <c r="A137" s="6" t="s">
        <v>83</v>
      </c>
      <c r="B137" s="19" t="s">
        <v>84</v>
      </c>
      <c r="C137" s="19"/>
      <c r="D137" s="19"/>
      <c r="E137" s="19"/>
      <c r="F137" s="19"/>
      <c r="G137" s="19"/>
      <c r="H137" s="19"/>
      <c r="I137" s="19"/>
    </row>
    <row r="140" spans="1:9">
      <c r="A140" s="7" t="s">
        <v>85</v>
      </c>
      <c r="B140" s="19" t="s">
        <v>86</v>
      </c>
      <c r="C140" s="19"/>
      <c r="D140" s="19"/>
      <c r="E140" s="19"/>
      <c r="F140" s="19"/>
      <c r="G140" s="19"/>
      <c r="H140" s="19"/>
      <c r="I140" s="19"/>
    </row>
    <row r="141" spans="1:9">
      <c r="D141" s="16" t="s">
        <v>74</v>
      </c>
      <c r="E141" s="12"/>
      <c r="F141" s="12"/>
      <c r="G141" s="17"/>
      <c r="H141" s="12" t="s">
        <v>297</v>
      </c>
      <c r="I141" s="10"/>
    </row>
    <row r="144" spans="1:9">
      <c r="A144" s="7" t="s">
        <v>87</v>
      </c>
      <c r="B144" s="19" t="s">
        <v>88</v>
      </c>
      <c r="C144" s="19"/>
      <c r="D144" s="19"/>
      <c r="E144" s="19"/>
      <c r="F144" s="19"/>
      <c r="G144" s="19"/>
      <c r="H144" s="19"/>
      <c r="I144" s="19"/>
    </row>
    <row r="145" spans="1:9">
      <c r="D145" s="16" t="s">
        <v>74</v>
      </c>
      <c r="E145" s="12"/>
      <c r="F145" s="12"/>
      <c r="G145" s="17"/>
      <c r="H145" s="12" t="s">
        <v>297</v>
      </c>
      <c r="I145" s="10"/>
    </row>
    <row r="148" spans="1:9">
      <c r="A148" s="6" t="s">
        <v>92</v>
      </c>
      <c r="B148" s="19" t="s">
        <v>93</v>
      </c>
      <c r="C148" s="19"/>
      <c r="D148" s="19"/>
      <c r="E148" s="19"/>
      <c r="F148" s="19"/>
      <c r="G148" s="19"/>
      <c r="H148" s="19"/>
      <c r="I148" s="19"/>
    </row>
    <row r="151" spans="1:9">
      <c r="A151" s="6" t="s">
        <v>94</v>
      </c>
      <c r="B151" s="19" t="s">
        <v>95</v>
      </c>
      <c r="C151" s="19"/>
      <c r="D151" s="19"/>
      <c r="E151" s="19"/>
      <c r="F151" s="19"/>
      <c r="G151" s="19"/>
      <c r="H151" s="19"/>
      <c r="I151" s="19"/>
    </row>
    <row r="154" spans="1:9">
      <c r="A154" s="6" t="s">
        <v>96</v>
      </c>
      <c r="B154" s="19" t="s">
        <v>97</v>
      </c>
      <c r="C154" s="19"/>
      <c r="D154" s="19"/>
      <c r="E154" s="19"/>
      <c r="F154" s="19"/>
      <c r="G154" s="19"/>
      <c r="H154" s="19"/>
      <c r="I154" s="19"/>
    </row>
    <row r="157" spans="1:9" s="20" customFormat="1">
      <c r="A157" s="7" t="s">
        <v>98</v>
      </c>
      <c r="B157" s="19" t="s">
        <v>476</v>
      </c>
      <c r="C157" s="19"/>
      <c r="D157" s="19"/>
      <c r="E157" s="19"/>
      <c r="F157" s="19"/>
      <c r="G157" s="19"/>
      <c r="H157" s="19"/>
      <c r="I157" s="19"/>
    </row>
    <row r="158" spans="1:9" s="20" customFormat="1">
      <c r="A158" s="1"/>
      <c r="B158" s="1"/>
      <c r="C158" s="1"/>
      <c r="D158" s="1"/>
      <c r="E158" s="1"/>
      <c r="F158" s="1"/>
      <c r="G158" s="1"/>
      <c r="H158" s="1"/>
      <c r="I158" s="1"/>
    </row>
    <row r="159" spans="1:9" s="20" customFormat="1">
      <c r="A159" s="1"/>
      <c r="B159" s="1"/>
      <c r="C159" s="1"/>
      <c r="D159" s="1"/>
      <c r="E159" s="1"/>
      <c r="F159" s="1"/>
      <c r="G159" s="1"/>
      <c r="H159" s="1"/>
      <c r="I159" s="1"/>
    </row>
    <row r="160" spans="1:9">
      <c r="A160" s="8" t="s">
        <v>303</v>
      </c>
      <c r="B160" s="19" t="s">
        <v>477</v>
      </c>
      <c r="C160" s="19"/>
      <c r="D160" s="19"/>
      <c r="E160" s="19"/>
      <c r="F160" s="19"/>
      <c r="G160" s="19"/>
      <c r="H160" s="19"/>
      <c r="I160" s="19"/>
    </row>
    <row r="161" spans="1:9">
      <c r="A161" s="2"/>
      <c r="B161" s="9" t="s">
        <v>70</v>
      </c>
      <c r="C161" s="9"/>
      <c r="D161" s="21"/>
      <c r="E161" s="22" t="s">
        <v>89</v>
      </c>
      <c r="F161" s="22"/>
      <c r="G161" s="23" t="s">
        <v>71</v>
      </c>
      <c r="H161" s="24"/>
      <c r="I161" s="22" t="s">
        <v>72</v>
      </c>
    </row>
    <row r="162" spans="1:9">
      <c r="A162" s="2"/>
      <c r="B162" s="2"/>
      <c r="C162" s="2"/>
      <c r="D162" s="13"/>
      <c r="E162" s="18"/>
      <c r="F162" s="18"/>
      <c r="G162" s="14"/>
      <c r="H162" s="15"/>
      <c r="I162" s="26">
        <f>ROUND(PRODUCT(ROUND(PRODUCT(D162,E162,F162), 2),G162,H162), 2)</f>
        <v>0</v>
      </c>
    </row>
    <row r="163" spans="1:9">
      <c r="A163" s="2"/>
      <c r="B163" s="2" t="s">
        <v>369</v>
      </c>
      <c r="C163" s="2"/>
      <c r="D163" s="13"/>
      <c r="E163" s="18"/>
      <c r="F163" s="18">
        <v>2</v>
      </c>
      <c r="G163" s="14"/>
      <c r="H163" s="15">
        <v>1</v>
      </c>
      <c r="I163" s="26">
        <f t="shared" ref="I163:I165" si="0">ROUND(PRODUCT(ROUND(PRODUCT(D163,E163,F163), 2),G163,H163), 2)</f>
        <v>2</v>
      </c>
    </row>
    <row r="164" spans="1:9">
      <c r="A164" s="2"/>
      <c r="B164" s="2" t="s">
        <v>370</v>
      </c>
      <c r="C164" s="2"/>
      <c r="D164" s="13"/>
      <c r="E164" s="18"/>
      <c r="F164" s="18">
        <v>2</v>
      </c>
      <c r="G164" s="14"/>
      <c r="H164" s="15">
        <v>1</v>
      </c>
      <c r="I164" s="26">
        <f t="shared" si="0"/>
        <v>2</v>
      </c>
    </row>
    <row r="165" spans="1:9">
      <c r="A165" s="2"/>
      <c r="B165" s="2" t="s">
        <v>371</v>
      </c>
      <c r="C165" s="2"/>
      <c r="D165" s="13"/>
      <c r="E165" s="18"/>
      <c r="F165" s="18">
        <v>2</v>
      </c>
      <c r="G165" s="14"/>
      <c r="H165" s="15">
        <v>1</v>
      </c>
      <c r="I165" s="26">
        <f t="shared" si="0"/>
        <v>2</v>
      </c>
    </row>
    <row r="166" spans="1:9">
      <c r="A166" s="2"/>
      <c r="B166" s="2"/>
      <c r="C166" s="2"/>
      <c r="D166" s="16" t="s">
        <v>74</v>
      </c>
      <c r="E166" s="12"/>
      <c r="F166" s="12"/>
      <c r="G166" s="17" t="s">
        <v>75</v>
      </c>
      <c r="H166" s="12" t="s">
        <v>91</v>
      </c>
      <c r="I166" s="32">
        <f>SUM(I162:I165)</f>
        <v>6</v>
      </c>
    </row>
    <row r="169" spans="1:9">
      <c r="A169" s="8" t="s">
        <v>304</v>
      </c>
      <c r="B169" s="19" t="s">
        <v>478</v>
      </c>
      <c r="C169" s="19"/>
      <c r="D169" s="19"/>
      <c r="E169" s="19"/>
      <c r="F169" s="19"/>
      <c r="G169" s="19"/>
      <c r="H169" s="19"/>
      <c r="I169" s="19"/>
    </row>
    <row r="170" spans="1:9">
      <c r="A170" s="2"/>
      <c r="B170" s="9" t="s">
        <v>70</v>
      </c>
      <c r="C170" s="9"/>
      <c r="D170" s="21"/>
      <c r="E170" s="22" t="s">
        <v>89</v>
      </c>
      <c r="F170" s="22"/>
      <c r="G170" s="23" t="s">
        <v>71</v>
      </c>
      <c r="H170" s="24"/>
      <c r="I170" s="22" t="s">
        <v>72</v>
      </c>
    </row>
    <row r="171" spans="1:9">
      <c r="A171" s="2"/>
      <c r="B171" s="2"/>
      <c r="C171" s="2"/>
      <c r="D171" s="13"/>
      <c r="E171" s="18"/>
      <c r="F171" s="18"/>
      <c r="G171" s="14"/>
      <c r="H171" s="15"/>
      <c r="I171" s="26">
        <f>ROUND(PRODUCT(ROUND(PRODUCT(D171,E171,F171), 2),G171,H171), 2)</f>
        <v>0</v>
      </c>
    </row>
    <row r="172" spans="1:9">
      <c r="A172" s="2"/>
      <c r="B172" s="2"/>
      <c r="C172" s="2"/>
      <c r="D172" s="13"/>
      <c r="E172" s="18"/>
      <c r="F172" s="18"/>
      <c r="G172" s="14"/>
      <c r="H172" s="15"/>
      <c r="I172" s="26">
        <f t="shared" ref="I172:I175" si="1">ROUND(PRODUCT(ROUND(PRODUCT(D172,E172,F172), 2),G172,H172), 2)</f>
        <v>0</v>
      </c>
    </row>
    <row r="173" spans="1:9">
      <c r="A173" s="2"/>
      <c r="B173" s="2" t="s">
        <v>372</v>
      </c>
      <c r="C173" s="2" t="s">
        <v>376</v>
      </c>
      <c r="D173" s="13"/>
      <c r="E173" s="18"/>
      <c r="F173" s="18">
        <v>2</v>
      </c>
      <c r="G173" s="14"/>
      <c r="H173" s="15">
        <v>1</v>
      </c>
      <c r="I173" s="26">
        <f t="shared" si="1"/>
        <v>2</v>
      </c>
    </row>
    <row r="174" spans="1:9">
      <c r="A174" s="2"/>
      <c r="B174" s="2"/>
      <c r="C174" s="2" t="s">
        <v>377</v>
      </c>
      <c r="D174" s="13"/>
      <c r="E174" s="18"/>
      <c r="F174" s="18">
        <v>2</v>
      </c>
      <c r="G174" s="14"/>
      <c r="H174" s="15">
        <v>1</v>
      </c>
      <c r="I174" s="26">
        <f t="shared" si="1"/>
        <v>2</v>
      </c>
    </row>
    <row r="175" spans="1:9">
      <c r="A175" s="2"/>
      <c r="B175" s="2"/>
      <c r="C175" s="2"/>
      <c r="D175" s="13"/>
      <c r="E175" s="18"/>
      <c r="F175" s="18"/>
      <c r="G175" s="14"/>
      <c r="H175" s="15"/>
      <c r="I175" s="26">
        <f t="shared" si="1"/>
        <v>0</v>
      </c>
    </row>
    <row r="176" spans="1:9">
      <c r="A176" s="2"/>
      <c r="B176" s="2"/>
      <c r="C176" s="2"/>
      <c r="D176" s="16" t="s">
        <v>74</v>
      </c>
      <c r="E176" s="12"/>
      <c r="F176" s="12"/>
      <c r="G176" s="17" t="s">
        <v>75</v>
      </c>
      <c r="H176" s="12" t="s">
        <v>91</v>
      </c>
      <c r="I176" s="32">
        <f>SUM(I171:I175)</f>
        <v>4</v>
      </c>
    </row>
    <row r="179" spans="1:9">
      <c r="A179" s="8" t="s">
        <v>305</v>
      </c>
      <c r="B179" s="19" t="s">
        <v>479</v>
      </c>
      <c r="C179" s="19"/>
      <c r="D179" s="19"/>
      <c r="E179" s="19"/>
      <c r="F179" s="19"/>
      <c r="G179" s="19"/>
      <c r="H179" s="19"/>
      <c r="I179" s="19"/>
    </row>
    <row r="180" spans="1:9">
      <c r="A180" s="2"/>
      <c r="B180" s="9" t="s">
        <v>70</v>
      </c>
      <c r="C180" s="9"/>
      <c r="D180" s="21"/>
      <c r="E180" s="22" t="s">
        <v>89</v>
      </c>
      <c r="F180" s="22"/>
      <c r="G180" s="23" t="s">
        <v>71</v>
      </c>
      <c r="H180" s="24"/>
      <c r="I180" s="22" t="s">
        <v>72</v>
      </c>
    </row>
    <row r="181" spans="1:9">
      <c r="A181" s="2"/>
      <c r="B181" s="2"/>
      <c r="C181" s="2"/>
      <c r="D181" s="13"/>
      <c r="E181" s="18"/>
      <c r="F181" s="18"/>
      <c r="G181" s="14"/>
      <c r="H181" s="15"/>
      <c r="I181" s="26">
        <f>ROUND(PRODUCT(ROUND(PRODUCT(D181,E181,F181), 2),G181,H181), 2)</f>
        <v>0</v>
      </c>
    </row>
    <row r="182" spans="1:9">
      <c r="A182" s="2"/>
      <c r="B182" s="2" t="s">
        <v>368</v>
      </c>
      <c r="C182" s="2"/>
      <c r="D182" s="13"/>
      <c r="E182" s="18"/>
      <c r="F182" s="18">
        <v>1</v>
      </c>
      <c r="G182" s="14"/>
      <c r="H182" s="15">
        <v>1</v>
      </c>
      <c r="I182" s="26">
        <f t="shared" ref="I182:I185" si="2">ROUND(PRODUCT(ROUND(PRODUCT(D182,E182,F182), 2),G182,H182), 2)</f>
        <v>1</v>
      </c>
    </row>
    <row r="183" spans="1:9">
      <c r="A183" s="2"/>
      <c r="B183" s="2"/>
      <c r="C183" s="2"/>
      <c r="D183" s="13"/>
      <c r="E183" s="18"/>
      <c r="F183" s="18"/>
      <c r="G183" s="14"/>
      <c r="H183" s="15"/>
      <c r="I183" s="26">
        <f t="shared" si="2"/>
        <v>0</v>
      </c>
    </row>
    <row r="184" spans="1:9">
      <c r="A184" s="2"/>
      <c r="B184" s="2"/>
      <c r="C184" s="2"/>
      <c r="D184" s="13"/>
      <c r="E184" s="18"/>
      <c r="F184" s="18"/>
      <c r="G184" s="14"/>
      <c r="H184" s="15"/>
      <c r="I184" s="26">
        <f t="shared" si="2"/>
        <v>0</v>
      </c>
    </row>
    <row r="185" spans="1:9">
      <c r="A185" s="2"/>
      <c r="B185" s="2"/>
      <c r="C185" s="2"/>
      <c r="D185" s="13"/>
      <c r="E185" s="18"/>
      <c r="F185" s="18"/>
      <c r="G185" s="14"/>
      <c r="H185" s="15"/>
      <c r="I185" s="26">
        <f t="shared" si="2"/>
        <v>0</v>
      </c>
    </row>
    <row r="186" spans="1:9">
      <c r="A186" s="2"/>
      <c r="B186" s="2"/>
      <c r="C186" s="2"/>
      <c r="D186" s="16" t="s">
        <v>74</v>
      </c>
      <c r="E186" s="12"/>
      <c r="F186" s="12"/>
      <c r="G186" s="17" t="s">
        <v>75</v>
      </c>
      <c r="H186" s="12" t="s">
        <v>91</v>
      </c>
      <c r="I186" s="32">
        <f>SUM(I181:I185)</f>
        <v>1</v>
      </c>
    </row>
    <row r="189" spans="1:9">
      <c r="A189" s="8" t="s">
        <v>306</v>
      </c>
      <c r="B189" s="19" t="s">
        <v>480</v>
      </c>
      <c r="C189" s="19"/>
      <c r="D189" s="19"/>
      <c r="E189" s="19"/>
      <c r="F189" s="19"/>
      <c r="G189" s="19"/>
      <c r="H189" s="19"/>
      <c r="I189" s="19"/>
    </row>
    <row r="190" spans="1:9">
      <c r="A190" s="2"/>
      <c r="B190" s="9" t="s">
        <v>70</v>
      </c>
      <c r="C190" s="9"/>
      <c r="D190" s="21"/>
      <c r="E190" s="22" t="s">
        <v>89</v>
      </c>
      <c r="F190" s="22"/>
      <c r="G190" s="23" t="s">
        <v>71</v>
      </c>
      <c r="H190" s="24"/>
      <c r="I190" s="22" t="s">
        <v>72</v>
      </c>
    </row>
    <row r="191" spans="1:9">
      <c r="A191" s="2"/>
      <c r="B191" s="2"/>
      <c r="C191" s="2"/>
      <c r="D191" s="13"/>
      <c r="E191" s="18"/>
      <c r="F191" s="18"/>
      <c r="G191" s="14"/>
      <c r="H191" s="15"/>
      <c r="I191" s="26">
        <f>ROUND(PRODUCT(ROUND(PRODUCT(D191,E191,F191), 2),G191,H191), 2)</f>
        <v>0</v>
      </c>
    </row>
    <row r="192" spans="1:9">
      <c r="A192" s="2"/>
      <c r="B192" s="2" t="s">
        <v>367</v>
      </c>
      <c r="C192" s="2"/>
      <c r="D192" s="13"/>
      <c r="E192" s="18"/>
      <c r="F192" s="18">
        <v>1</v>
      </c>
      <c r="G192" s="14"/>
      <c r="H192" s="15">
        <v>0</v>
      </c>
      <c r="I192" s="26">
        <f t="shared" ref="I192:I195" si="3">ROUND(PRODUCT(ROUND(PRODUCT(D192,E192,F192), 2),G192,H192), 2)</f>
        <v>0</v>
      </c>
    </row>
    <row r="193" spans="1:9">
      <c r="A193" s="2"/>
      <c r="C193" s="2"/>
      <c r="D193" s="13"/>
      <c r="E193" s="18"/>
      <c r="F193" s="18"/>
      <c r="G193" s="14"/>
      <c r="H193" s="15"/>
      <c r="I193" s="26">
        <f t="shared" si="3"/>
        <v>0</v>
      </c>
    </row>
    <row r="194" spans="1:9">
      <c r="A194" s="2"/>
      <c r="B194" s="2"/>
      <c r="C194" s="2"/>
      <c r="D194" s="13"/>
      <c r="E194" s="18"/>
      <c r="F194" s="18"/>
      <c r="G194" s="14"/>
      <c r="H194" s="15"/>
      <c r="I194" s="26">
        <f t="shared" si="3"/>
        <v>0</v>
      </c>
    </row>
    <row r="195" spans="1:9">
      <c r="A195" s="2"/>
      <c r="B195" s="2"/>
      <c r="C195" s="2"/>
      <c r="D195" s="13"/>
      <c r="E195" s="18"/>
      <c r="F195" s="18"/>
      <c r="G195" s="14"/>
      <c r="H195" s="15"/>
      <c r="I195" s="26">
        <f t="shared" si="3"/>
        <v>0</v>
      </c>
    </row>
    <row r="196" spans="1:9">
      <c r="A196" s="2"/>
      <c r="B196" s="2"/>
      <c r="C196" s="2"/>
      <c r="D196" s="16" t="s">
        <v>74</v>
      </c>
      <c r="E196" s="12"/>
      <c r="F196" s="12"/>
      <c r="G196" s="17" t="s">
        <v>75</v>
      </c>
      <c r="H196" s="12" t="s">
        <v>91</v>
      </c>
      <c r="I196" s="32">
        <f>SUM(I191:I195)</f>
        <v>0</v>
      </c>
    </row>
    <row r="199" spans="1:9">
      <c r="A199" s="8" t="s">
        <v>307</v>
      </c>
      <c r="B199" s="19" t="s">
        <v>481</v>
      </c>
      <c r="C199" s="19"/>
      <c r="D199" s="19"/>
      <c r="E199" s="19"/>
      <c r="F199" s="19"/>
      <c r="G199" s="19"/>
      <c r="H199" s="19"/>
      <c r="I199" s="19"/>
    </row>
    <row r="200" spans="1:9">
      <c r="A200" s="2"/>
      <c r="B200" s="9" t="s">
        <v>70</v>
      </c>
      <c r="C200" s="9"/>
      <c r="D200" s="21"/>
      <c r="E200" s="22" t="s">
        <v>89</v>
      </c>
      <c r="F200" s="22"/>
      <c r="G200" s="23" t="s">
        <v>71</v>
      </c>
      <c r="H200" s="24"/>
      <c r="I200" s="22" t="s">
        <v>72</v>
      </c>
    </row>
    <row r="201" spans="1:9">
      <c r="A201" s="2"/>
      <c r="B201" s="2"/>
      <c r="C201" s="2"/>
      <c r="D201" s="13"/>
      <c r="E201" s="18"/>
      <c r="F201" s="18"/>
      <c r="G201" s="14"/>
      <c r="H201" s="15"/>
      <c r="I201" s="26">
        <f>ROUND(PRODUCT(ROUND(PRODUCT(D201,E201,F201), 2),G201,H201), 2)</f>
        <v>0</v>
      </c>
    </row>
    <row r="202" spans="1:9">
      <c r="A202" s="2"/>
      <c r="B202" s="2" t="s">
        <v>366</v>
      </c>
      <c r="C202" s="2"/>
      <c r="D202" s="13"/>
      <c r="E202" s="18"/>
      <c r="F202" s="18">
        <v>1</v>
      </c>
      <c r="G202" s="14"/>
      <c r="H202" s="15">
        <v>4</v>
      </c>
      <c r="I202" s="26">
        <f t="shared" ref="I202:I204" si="4">ROUND(PRODUCT(ROUND(PRODUCT(D202,E202,F202), 2),G202,H202), 2)</f>
        <v>4</v>
      </c>
    </row>
    <row r="203" spans="1:9">
      <c r="A203" s="2"/>
      <c r="B203" s="2"/>
      <c r="C203" s="2"/>
      <c r="D203" s="13"/>
      <c r="E203" s="18"/>
      <c r="F203" s="18"/>
      <c r="G203" s="14"/>
      <c r="H203" s="15"/>
      <c r="I203" s="26">
        <f t="shared" si="4"/>
        <v>0</v>
      </c>
    </row>
    <row r="204" spans="1:9">
      <c r="A204" s="2"/>
      <c r="B204" s="2"/>
      <c r="C204" s="2"/>
      <c r="D204" s="13"/>
      <c r="E204" s="18"/>
      <c r="F204" s="18"/>
      <c r="G204" s="14"/>
      <c r="H204" s="15"/>
      <c r="I204" s="26">
        <f t="shared" si="4"/>
        <v>0</v>
      </c>
    </row>
    <row r="205" spans="1:9">
      <c r="A205" s="2"/>
      <c r="B205" s="2"/>
      <c r="C205" s="2"/>
      <c r="D205" s="16" t="s">
        <v>74</v>
      </c>
      <c r="E205" s="12"/>
      <c r="F205" s="12"/>
      <c r="G205" s="17" t="s">
        <v>75</v>
      </c>
      <c r="H205" s="12" t="s">
        <v>91</v>
      </c>
      <c r="I205" s="32">
        <f>SUM(I201:I204)</f>
        <v>4</v>
      </c>
    </row>
    <row r="208" spans="1:9">
      <c r="A208" s="6" t="s">
        <v>99</v>
      </c>
      <c r="B208" s="19" t="s">
        <v>100</v>
      </c>
      <c r="C208" s="19"/>
      <c r="D208" s="19"/>
      <c r="E208" s="19"/>
      <c r="F208" s="19"/>
      <c r="G208" s="19"/>
      <c r="H208" s="19"/>
      <c r="I208" s="19"/>
    </row>
    <row r="211" spans="1:9">
      <c r="A211" s="7" t="s">
        <v>101</v>
      </c>
      <c r="B211" s="19" t="s">
        <v>102</v>
      </c>
      <c r="C211" s="19"/>
      <c r="D211" s="19"/>
      <c r="E211" s="19"/>
      <c r="F211" s="19"/>
      <c r="G211" s="19"/>
      <c r="H211" s="19"/>
      <c r="I211" s="19"/>
    </row>
    <row r="212" spans="1:9">
      <c r="D212" s="16" t="s">
        <v>74</v>
      </c>
      <c r="E212" s="12"/>
      <c r="F212" s="12"/>
      <c r="G212" s="17"/>
      <c r="H212" s="12" t="s">
        <v>297</v>
      </c>
      <c r="I212" s="10"/>
    </row>
    <row r="215" spans="1:9">
      <c r="A215" s="6" t="s">
        <v>103</v>
      </c>
      <c r="B215" s="19" t="s">
        <v>104</v>
      </c>
      <c r="C215" s="19"/>
      <c r="D215" s="19"/>
      <c r="E215" s="19"/>
      <c r="F215" s="19"/>
      <c r="G215" s="19"/>
      <c r="H215" s="19"/>
      <c r="I215" s="19"/>
    </row>
    <row r="218" spans="1:9">
      <c r="A218" s="7" t="s">
        <v>105</v>
      </c>
      <c r="B218" s="19" t="s">
        <v>106</v>
      </c>
      <c r="C218" s="19"/>
      <c r="D218" s="19"/>
      <c r="E218" s="19"/>
      <c r="F218" s="19"/>
      <c r="G218" s="19"/>
      <c r="H218" s="19"/>
      <c r="I218" s="19"/>
    </row>
    <row r="219" spans="1:9">
      <c r="A219" s="2"/>
      <c r="B219" s="9" t="s">
        <v>70</v>
      </c>
      <c r="C219" s="9"/>
      <c r="D219" s="21" t="s">
        <v>73</v>
      </c>
      <c r="E219" s="22"/>
      <c r="F219" s="22"/>
      <c r="G219" s="23" t="s">
        <v>71</v>
      </c>
      <c r="H219" s="24"/>
      <c r="I219" s="22" t="s">
        <v>72</v>
      </c>
    </row>
    <row r="220" spans="1:9">
      <c r="A220" s="2"/>
      <c r="B220" s="2"/>
      <c r="C220" s="2"/>
      <c r="D220" s="13"/>
      <c r="E220" s="18"/>
      <c r="F220" s="18"/>
      <c r="G220" s="14"/>
      <c r="H220" s="15"/>
      <c r="I220" s="25">
        <f>ROUND(PRODUCT(ROUND(PRODUCT(D220,E220,F220), 0),G220,H220), 0)</f>
        <v>0</v>
      </c>
    </row>
    <row r="221" spans="1:9">
      <c r="A221" s="2"/>
      <c r="C221" s="2"/>
      <c r="D221" s="13"/>
      <c r="E221" s="18"/>
      <c r="F221" s="18"/>
      <c r="G221" s="14"/>
      <c r="H221" s="15"/>
      <c r="I221" s="25">
        <f t="shared" ref="I221:I224" si="5">ROUND(PRODUCT(ROUND(PRODUCT(D221,E221,F221), 0),G221,H221), 0)</f>
        <v>0</v>
      </c>
    </row>
    <row r="222" spans="1:9">
      <c r="A222" s="2"/>
      <c r="B222" s="1" t="s">
        <v>389</v>
      </c>
      <c r="C222" s="2"/>
      <c r="D222" s="13">
        <v>1</v>
      </c>
      <c r="E222" s="18"/>
      <c r="F222" s="18"/>
      <c r="G222" s="14"/>
      <c r="H222" s="15"/>
      <c r="I222" s="25">
        <f t="shared" si="5"/>
        <v>1</v>
      </c>
    </row>
    <row r="223" spans="1:9">
      <c r="A223" s="2"/>
      <c r="C223" s="2"/>
      <c r="D223" s="13"/>
      <c r="E223" s="18"/>
      <c r="F223" s="18"/>
      <c r="G223" s="14"/>
      <c r="H223" s="15"/>
      <c r="I223" s="25">
        <f t="shared" si="5"/>
        <v>0</v>
      </c>
    </row>
    <row r="224" spans="1:9">
      <c r="A224" s="2"/>
      <c r="B224" s="2"/>
      <c r="C224" s="2"/>
      <c r="D224" s="13"/>
      <c r="E224" s="18"/>
      <c r="F224" s="18"/>
      <c r="G224" s="14"/>
      <c r="H224" s="15"/>
      <c r="I224" s="25">
        <f t="shared" si="5"/>
        <v>0</v>
      </c>
    </row>
    <row r="225" spans="1:9">
      <c r="A225" s="2"/>
      <c r="B225" s="2"/>
      <c r="C225" s="2"/>
      <c r="D225" s="16" t="s">
        <v>74</v>
      </c>
      <c r="E225" s="12"/>
      <c r="F225" s="12"/>
      <c r="G225" s="17" t="s">
        <v>75</v>
      </c>
      <c r="H225" s="12" t="s">
        <v>76</v>
      </c>
      <c r="I225" s="31">
        <f>SUM(I220:I224)</f>
        <v>1</v>
      </c>
    </row>
    <row r="228" spans="1:9">
      <c r="A228" s="6" t="s">
        <v>107</v>
      </c>
      <c r="B228" s="19" t="s">
        <v>108</v>
      </c>
      <c r="C228" s="19"/>
      <c r="D228" s="19"/>
      <c r="E228" s="19"/>
      <c r="F228" s="19"/>
      <c r="G228" s="19"/>
      <c r="H228" s="19"/>
      <c r="I228" s="19"/>
    </row>
    <row r="231" spans="1:9">
      <c r="A231" s="6" t="s">
        <v>109</v>
      </c>
      <c r="B231" s="19" t="s">
        <v>110</v>
      </c>
      <c r="C231" s="19"/>
      <c r="D231" s="19"/>
      <c r="E231" s="19"/>
      <c r="F231" s="19"/>
      <c r="G231" s="19"/>
      <c r="H231" s="19"/>
      <c r="I231" s="19"/>
    </row>
    <row r="234" spans="1:9">
      <c r="A234" s="8" t="s">
        <v>308</v>
      </c>
      <c r="B234" s="19" t="s">
        <v>482</v>
      </c>
      <c r="C234" s="19"/>
      <c r="D234" s="19"/>
      <c r="E234" s="19"/>
      <c r="F234" s="19"/>
      <c r="G234" s="19"/>
      <c r="H234" s="19"/>
      <c r="I234" s="19"/>
    </row>
    <row r="237" spans="1:9">
      <c r="A237" s="8" t="s">
        <v>309</v>
      </c>
      <c r="B237" s="19" t="s">
        <v>483</v>
      </c>
      <c r="C237" s="19"/>
      <c r="D237" s="19"/>
      <c r="E237" s="19"/>
      <c r="F237" s="19"/>
      <c r="G237" s="19"/>
      <c r="H237" s="19"/>
      <c r="I237" s="19"/>
    </row>
    <row r="238" spans="1:9">
      <c r="A238" s="2"/>
      <c r="B238" s="9" t="s">
        <v>70</v>
      </c>
      <c r="C238" s="9"/>
      <c r="D238" s="21"/>
      <c r="E238" s="22" t="s">
        <v>89</v>
      </c>
      <c r="F238" s="22"/>
      <c r="G238" s="23" t="s">
        <v>71</v>
      </c>
      <c r="H238" s="24"/>
      <c r="I238" s="22" t="s">
        <v>72</v>
      </c>
    </row>
    <row r="239" spans="1:9">
      <c r="A239" s="2"/>
      <c r="B239" s="2"/>
      <c r="C239" s="2"/>
      <c r="D239" s="13"/>
      <c r="E239" s="18"/>
      <c r="F239" s="18"/>
      <c r="G239" s="14"/>
      <c r="H239" s="15"/>
      <c r="I239" s="26">
        <f>ROUND(PRODUCT(ROUND(PRODUCT(D239,E239,F239), 2),G239,H239), 2)</f>
        <v>0</v>
      </c>
    </row>
    <row r="240" spans="1:9">
      <c r="A240" s="2"/>
      <c r="B240" s="1" t="s">
        <v>362</v>
      </c>
      <c r="C240" s="2" t="s">
        <v>420</v>
      </c>
      <c r="D240" s="13"/>
      <c r="E240" s="18">
        <v>9</v>
      </c>
      <c r="F240" s="18"/>
      <c r="G240" s="14"/>
      <c r="H240" s="15"/>
      <c r="I240" s="26">
        <f t="shared" ref="I240:I265" si="6">ROUND(PRODUCT(ROUND(PRODUCT(D240,E240,F240), 2),G240,H240), 2)</f>
        <v>9</v>
      </c>
    </row>
    <row r="241" spans="1:9">
      <c r="A241" s="2"/>
      <c r="B241" s="2"/>
      <c r="C241" s="2"/>
      <c r="D241" s="13"/>
      <c r="E241" s="18">
        <v>4.7</v>
      </c>
      <c r="F241" s="18"/>
      <c r="G241" s="14"/>
      <c r="H241" s="15"/>
      <c r="I241" s="26">
        <f t="shared" ref="I241:I244" si="7">ROUND(PRODUCT(ROUND(PRODUCT(D241,E241,F241), 2),G241,H241), 2)</f>
        <v>4.7</v>
      </c>
    </row>
    <row r="242" spans="1:9">
      <c r="A242" s="2"/>
      <c r="B242" s="2"/>
      <c r="C242" s="2"/>
      <c r="D242" s="13"/>
      <c r="E242" s="18">
        <v>6.3</v>
      </c>
      <c r="F242" s="18"/>
      <c r="G242" s="14"/>
      <c r="H242" s="15"/>
      <c r="I242" s="26">
        <f t="shared" si="7"/>
        <v>6.3</v>
      </c>
    </row>
    <row r="243" spans="1:9">
      <c r="A243" s="2"/>
      <c r="C243" s="2"/>
      <c r="D243" s="13"/>
      <c r="E243" s="18">
        <v>8.18</v>
      </c>
      <c r="F243" s="18"/>
      <c r="G243" s="14"/>
      <c r="H243" s="15"/>
      <c r="I243" s="26">
        <f t="shared" si="7"/>
        <v>8.18</v>
      </c>
    </row>
    <row r="244" spans="1:9">
      <c r="A244" s="2"/>
      <c r="B244" s="2"/>
      <c r="C244" s="2"/>
      <c r="D244" s="13"/>
      <c r="E244" s="18">
        <v>2</v>
      </c>
      <c r="F244" s="18"/>
      <c r="G244" s="14"/>
      <c r="H244" s="15"/>
      <c r="I244" s="26">
        <f t="shared" si="7"/>
        <v>2</v>
      </c>
    </row>
    <row r="245" spans="1:9">
      <c r="A245" s="2"/>
      <c r="B245" s="2"/>
      <c r="C245" s="2"/>
      <c r="D245" s="13"/>
      <c r="E245" s="18">
        <v>8</v>
      </c>
      <c r="F245" s="18"/>
      <c r="G245" s="14"/>
      <c r="H245" s="15"/>
      <c r="I245" s="26">
        <f t="shared" si="6"/>
        <v>8</v>
      </c>
    </row>
    <row r="246" spans="1:9">
      <c r="A246" s="2"/>
      <c r="B246" s="2"/>
      <c r="C246" s="2"/>
      <c r="D246" s="13"/>
      <c r="E246" s="18">
        <v>2.6</v>
      </c>
      <c r="F246" s="18"/>
      <c r="G246" s="14"/>
      <c r="H246" s="15"/>
      <c r="I246" s="26">
        <f t="shared" ref="I246:I248" si="8">ROUND(PRODUCT(ROUND(PRODUCT(D246,E246,F246), 2),G246,H246), 2)</f>
        <v>2.6</v>
      </c>
    </row>
    <row r="247" spans="1:9">
      <c r="A247" s="2"/>
      <c r="C247" s="2"/>
      <c r="D247" s="13"/>
      <c r="E247" s="18">
        <v>9.6</v>
      </c>
      <c r="F247" s="18"/>
      <c r="G247" s="14"/>
      <c r="H247" s="15"/>
      <c r="I247" s="26">
        <f t="shared" si="8"/>
        <v>9.6</v>
      </c>
    </row>
    <row r="248" spans="1:9">
      <c r="A248" s="2"/>
      <c r="B248" s="2"/>
      <c r="C248" s="2"/>
      <c r="D248" s="13"/>
      <c r="E248" s="18">
        <v>6.66</v>
      </c>
      <c r="F248" s="18"/>
      <c r="G248" s="14"/>
      <c r="H248" s="15"/>
      <c r="I248" s="26">
        <f t="shared" si="8"/>
        <v>6.66</v>
      </c>
    </row>
    <row r="249" spans="1:9">
      <c r="A249" s="2"/>
      <c r="B249" s="2"/>
      <c r="C249" s="2"/>
      <c r="D249" s="13"/>
      <c r="E249" s="18">
        <v>13.17</v>
      </c>
      <c r="F249" s="18"/>
      <c r="G249" s="14"/>
      <c r="H249" s="15"/>
      <c r="I249" s="26">
        <f t="shared" si="6"/>
        <v>13.17</v>
      </c>
    </row>
    <row r="250" spans="1:9">
      <c r="A250" s="2"/>
      <c r="C250" s="2"/>
      <c r="D250" s="13"/>
      <c r="E250" s="18">
        <v>5.5</v>
      </c>
      <c r="F250" s="18"/>
      <c r="G250" s="14"/>
      <c r="H250" s="15"/>
      <c r="I250" s="26">
        <f t="shared" si="6"/>
        <v>5.5</v>
      </c>
    </row>
    <row r="251" spans="1:9">
      <c r="A251" s="2"/>
      <c r="B251" s="2"/>
      <c r="C251" s="2"/>
      <c r="D251" s="13"/>
      <c r="E251" s="18"/>
      <c r="F251" s="18"/>
      <c r="G251" s="14"/>
      <c r="H251" s="15"/>
      <c r="I251" s="26">
        <f t="shared" si="6"/>
        <v>0</v>
      </c>
    </row>
    <row r="252" spans="1:9">
      <c r="A252" s="2"/>
      <c r="B252" s="2" t="s">
        <v>363</v>
      </c>
      <c r="C252" s="2"/>
      <c r="D252" s="13"/>
      <c r="E252" s="18">
        <v>2.4</v>
      </c>
      <c r="F252" s="18"/>
      <c r="G252" s="14"/>
      <c r="H252" s="15"/>
      <c r="I252" s="26">
        <f t="shared" ref="I252:I254" si="9">ROUND(PRODUCT(ROUND(PRODUCT(D252,E252,F252), 2),G252,H252), 2)</f>
        <v>2.4</v>
      </c>
    </row>
    <row r="253" spans="1:9">
      <c r="A253" s="2"/>
      <c r="C253" s="2"/>
      <c r="D253" s="13"/>
      <c r="E253" s="18">
        <v>4.5599999999999996</v>
      </c>
      <c r="F253" s="18"/>
      <c r="G253" s="14"/>
      <c r="H253" s="15"/>
      <c r="I253" s="26">
        <f t="shared" si="9"/>
        <v>4.5599999999999996</v>
      </c>
    </row>
    <row r="254" spans="1:9">
      <c r="A254" s="2"/>
      <c r="B254" s="2"/>
      <c r="C254" s="2"/>
      <c r="D254" s="13"/>
      <c r="E254" s="18">
        <v>0.86</v>
      </c>
      <c r="F254" s="18"/>
      <c r="G254" s="14"/>
      <c r="H254" s="15"/>
      <c r="I254" s="26">
        <f t="shared" si="9"/>
        <v>0.86</v>
      </c>
    </row>
    <row r="255" spans="1:9">
      <c r="A255" s="2"/>
      <c r="B255" s="2"/>
      <c r="C255" s="2"/>
      <c r="D255" s="13"/>
      <c r="E255" s="18"/>
      <c r="F255" s="18"/>
      <c r="G255" s="14"/>
      <c r="H255" s="15"/>
      <c r="I255" s="26">
        <f t="shared" si="6"/>
        <v>0</v>
      </c>
    </row>
    <row r="256" spans="1:9">
      <c r="A256" s="2"/>
      <c r="B256" s="2" t="s">
        <v>364</v>
      </c>
      <c r="C256" s="2"/>
      <c r="D256" s="13"/>
      <c r="E256" s="18">
        <v>0.8</v>
      </c>
      <c r="F256" s="18"/>
      <c r="G256" s="14"/>
      <c r="H256" s="15"/>
      <c r="I256" s="26">
        <f t="shared" si="6"/>
        <v>0.8</v>
      </c>
    </row>
    <row r="257" spans="1:9">
      <c r="A257" s="2"/>
      <c r="B257" s="2"/>
      <c r="C257" s="2"/>
      <c r="D257" s="13"/>
      <c r="E257" s="18">
        <v>4.9000000000000004</v>
      </c>
      <c r="F257" s="18"/>
      <c r="G257" s="14"/>
      <c r="H257" s="15"/>
      <c r="I257" s="26">
        <f t="shared" si="6"/>
        <v>4.9000000000000004</v>
      </c>
    </row>
    <row r="258" spans="1:9">
      <c r="A258" s="2"/>
      <c r="B258" s="2"/>
      <c r="C258" s="2"/>
      <c r="D258" s="13"/>
      <c r="E258" s="18">
        <v>5</v>
      </c>
      <c r="F258" s="18"/>
      <c r="G258" s="14"/>
      <c r="H258" s="15"/>
      <c r="I258" s="26">
        <f t="shared" ref="I258:I259" si="10">ROUND(PRODUCT(ROUND(PRODUCT(D258,E258,F258), 2),G258,H258), 2)</f>
        <v>5</v>
      </c>
    </row>
    <row r="259" spans="1:9">
      <c r="A259" s="2"/>
      <c r="B259" s="2"/>
      <c r="C259" s="2"/>
      <c r="D259" s="13"/>
      <c r="E259" s="18">
        <v>4.42</v>
      </c>
      <c r="F259" s="18"/>
      <c r="G259" s="14"/>
      <c r="H259" s="15"/>
      <c r="I259" s="26">
        <f t="shared" si="10"/>
        <v>4.42</v>
      </c>
    </row>
    <row r="260" spans="1:9">
      <c r="A260" s="2"/>
      <c r="B260" s="2"/>
      <c r="C260" s="2"/>
      <c r="D260" s="13"/>
      <c r="E260" s="18">
        <v>3.36</v>
      </c>
      <c r="F260" s="18"/>
      <c r="G260" s="14"/>
      <c r="H260" s="15"/>
      <c r="I260" s="26">
        <f t="shared" si="6"/>
        <v>3.36</v>
      </c>
    </row>
    <row r="261" spans="1:9">
      <c r="A261" s="2"/>
      <c r="B261" s="2"/>
      <c r="C261" s="2"/>
      <c r="D261" s="13"/>
      <c r="E261" s="18">
        <v>18.5</v>
      </c>
      <c r="F261" s="18"/>
      <c r="G261" s="14"/>
      <c r="H261" s="15"/>
      <c r="I261" s="26">
        <f t="shared" si="6"/>
        <v>18.5</v>
      </c>
    </row>
    <row r="262" spans="1:9">
      <c r="A262" s="2"/>
      <c r="B262" s="2"/>
      <c r="C262" s="2"/>
      <c r="D262" s="13"/>
      <c r="E262" s="18"/>
      <c r="F262" s="18"/>
      <c r="G262" s="14"/>
      <c r="H262" s="15"/>
      <c r="I262" s="26">
        <f t="shared" ref="I262" si="11">ROUND(PRODUCT(ROUND(PRODUCT(D262,E262,F262), 2),G262,H262), 2)</f>
        <v>0</v>
      </c>
    </row>
    <row r="263" spans="1:9">
      <c r="A263" s="2"/>
      <c r="B263" s="1" t="s">
        <v>365</v>
      </c>
      <c r="C263" s="2"/>
      <c r="D263" s="13"/>
      <c r="E263" s="18">
        <v>4.5</v>
      </c>
      <c r="F263" s="18"/>
      <c r="G263" s="14"/>
      <c r="H263" s="15"/>
      <c r="I263" s="26">
        <f t="shared" si="6"/>
        <v>4.5</v>
      </c>
    </row>
    <row r="264" spans="1:9">
      <c r="A264" s="2"/>
      <c r="B264" s="2"/>
      <c r="C264" s="2"/>
      <c r="D264" s="13"/>
      <c r="E264" s="18"/>
      <c r="F264" s="18"/>
      <c r="G264" s="14"/>
      <c r="H264" s="15"/>
      <c r="I264" s="26">
        <f t="shared" si="6"/>
        <v>0</v>
      </c>
    </row>
    <row r="265" spans="1:9">
      <c r="A265" s="2"/>
      <c r="B265" s="2"/>
      <c r="C265" s="2"/>
      <c r="D265" s="13"/>
      <c r="E265" s="18"/>
      <c r="F265" s="18"/>
      <c r="G265" s="14"/>
      <c r="H265" s="15"/>
      <c r="I265" s="26">
        <f t="shared" si="6"/>
        <v>0</v>
      </c>
    </row>
    <row r="266" spans="1:9">
      <c r="A266" s="2"/>
      <c r="B266" s="2"/>
      <c r="C266" s="2"/>
      <c r="D266" s="16" t="s">
        <v>74</v>
      </c>
      <c r="E266" s="12"/>
      <c r="F266" s="12"/>
      <c r="G266" s="17" t="s">
        <v>75</v>
      </c>
      <c r="H266" s="12" t="s">
        <v>91</v>
      </c>
      <c r="I266" s="32">
        <f>SUM(I239:I265)</f>
        <v>125.01000000000002</v>
      </c>
    </row>
    <row r="269" spans="1:9">
      <c r="A269" s="8" t="s">
        <v>310</v>
      </c>
      <c r="B269" s="19" t="s">
        <v>484</v>
      </c>
      <c r="C269" s="19"/>
      <c r="D269" s="19"/>
      <c r="E269" s="19"/>
      <c r="F269" s="19"/>
      <c r="G269" s="19"/>
      <c r="H269" s="19"/>
      <c r="I269" s="19"/>
    </row>
    <row r="270" spans="1:9">
      <c r="A270" s="2"/>
      <c r="B270" s="9" t="s">
        <v>70</v>
      </c>
      <c r="C270" s="9"/>
      <c r="D270" s="21"/>
      <c r="E270" s="22" t="s">
        <v>89</v>
      </c>
      <c r="F270" s="22"/>
      <c r="G270" s="23" t="s">
        <v>71</v>
      </c>
      <c r="H270" s="24"/>
      <c r="I270" s="22" t="s">
        <v>72</v>
      </c>
    </row>
    <row r="271" spans="1:9">
      <c r="A271" s="2"/>
      <c r="B271" s="2"/>
      <c r="C271" s="2"/>
      <c r="D271" s="13"/>
      <c r="E271" s="18"/>
      <c r="F271" s="18"/>
      <c r="G271" s="14"/>
      <c r="H271" s="15"/>
      <c r="I271" s="26">
        <f>ROUND(PRODUCT(ROUND(PRODUCT(D271,E271,F271), 2),G271,H271), 2)</f>
        <v>0</v>
      </c>
    </row>
    <row r="272" spans="1:9">
      <c r="A272" s="2"/>
      <c r="B272" s="1" t="s">
        <v>382</v>
      </c>
      <c r="C272" s="2"/>
      <c r="D272" s="13"/>
      <c r="E272" s="18">
        <v>16.190000000000001</v>
      </c>
      <c r="F272" s="18"/>
      <c r="G272" s="14"/>
      <c r="H272" s="15"/>
      <c r="I272" s="26">
        <f t="shared" ref="I272:I275" si="12">ROUND(PRODUCT(ROUND(PRODUCT(D272,E272,F272), 2),G272,H272), 2)</f>
        <v>16.190000000000001</v>
      </c>
    </row>
    <row r="273" spans="1:9">
      <c r="A273" s="2"/>
      <c r="B273" s="2"/>
      <c r="C273" s="2"/>
      <c r="D273" s="13"/>
      <c r="E273" s="18"/>
      <c r="F273" s="18"/>
      <c r="G273" s="14"/>
      <c r="H273" s="15"/>
      <c r="I273" s="26">
        <f t="shared" si="12"/>
        <v>0</v>
      </c>
    </row>
    <row r="274" spans="1:9">
      <c r="A274" s="2"/>
      <c r="B274" s="2"/>
      <c r="C274" s="2"/>
      <c r="D274" s="13"/>
      <c r="E274" s="18"/>
      <c r="F274" s="18"/>
      <c r="G274" s="14"/>
      <c r="H274" s="15"/>
      <c r="I274" s="26">
        <f t="shared" si="12"/>
        <v>0</v>
      </c>
    </row>
    <row r="275" spans="1:9">
      <c r="A275" s="2"/>
      <c r="B275" s="2"/>
      <c r="C275" s="2"/>
      <c r="D275" s="13"/>
      <c r="E275" s="18"/>
      <c r="F275" s="18"/>
      <c r="G275" s="14"/>
      <c r="H275" s="15"/>
      <c r="I275" s="26">
        <f t="shared" si="12"/>
        <v>0</v>
      </c>
    </row>
    <row r="276" spans="1:9">
      <c r="A276" s="2"/>
      <c r="B276" s="2"/>
      <c r="C276" s="2"/>
      <c r="D276" s="13"/>
      <c r="E276" s="18"/>
      <c r="F276" s="18"/>
      <c r="G276" s="14"/>
      <c r="H276" s="15"/>
      <c r="I276" s="26">
        <f>ROUND(PRODUCT(ROUND(PRODUCT(D276,E276,F276), 2),G276,H276), 2)</f>
        <v>0</v>
      </c>
    </row>
    <row r="277" spans="1:9">
      <c r="A277" s="2"/>
      <c r="B277" s="1" t="s">
        <v>383</v>
      </c>
      <c r="C277" s="2"/>
      <c r="D277" s="13"/>
      <c r="E277" s="18"/>
      <c r="F277" s="18"/>
      <c r="G277" s="14"/>
      <c r="H277" s="15"/>
      <c r="I277" s="26">
        <f t="shared" ref="I277:I281" si="13">ROUND(PRODUCT(ROUND(PRODUCT(D277,E277,F277), 2),G277,H277), 2)</f>
        <v>0</v>
      </c>
    </row>
    <row r="278" spans="1:9">
      <c r="A278" s="2"/>
      <c r="B278" s="2"/>
      <c r="C278" s="2"/>
      <c r="D278" s="13"/>
      <c r="E278" s="18"/>
      <c r="F278" s="18"/>
      <c r="G278" s="14"/>
      <c r="H278" s="15"/>
      <c r="I278" s="26">
        <f t="shared" si="13"/>
        <v>0</v>
      </c>
    </row>
    <row r="279" spans="1:9">
      <c r="A279" s="2"/>
      <c r="B279" s="2" t="s">
        <v>384</v>
      </c>
      <c r="C279" s="2"/>
      <c r="D279" s="13"/>
      <c r="E279" s="18"/>
      <c r="F279" s="18"/>
      <c r="G279" s="14"/>
      <c r="H279" s="15"/>
      <c r="I279" s="26">
        <f t="shared" si="13"/>
        <v>0</v>
      </c>
    </row>
    <row r="280" spans="1:9">
      <c r="A280" s="2"/>
      <c r="B280" s="2"/>
      <c r="C280" s="2"/>
      <c r="D280" s="13"/>
      <c r="E280" s="18"/>
      <c r="F280" s="18"/>
      <c r="G280" s="14"/>
      <c r="H280" s="15"/>
      <c r="I280" s="26">
        <f t="shared" si="13"/>
        <v>0</v>
      </c>
    </row>
    <row r="281" spans="1:9">
      <c r="A281" s="2"/>
      <c r="B281" s="2"/>
      <c r="C281" s="2"/>
      <c r="D281" s="13"/>
      <c r="E281" s="18"/>
      <c r="F281" s="18"/>
      <c r="G281" s="14"/>
      <c r="H281" s="15"/>
      <c r="I281" s="26">
        <f t="shared" si="13"/>
        <v>0</v>
      </c>
    </row>
    <row r="282" spans="1:9">
      <c r="A282" s="2"/>
      <c r="B282" s="2"/>
      <c r="C282" s="2"/>
      <c r="D282" s="16" t="s">
        <v>74</v>
      </c>
      <c r="E282" s="12"/>
      <c r="F282" s="12"/>
      <c r="G282" s="17" t="s">
        <v>75</v>
      </c>
      <c r="H282" s="12" t="s">
        <v>91</v>
      </c>
      <c r="I282" s="32">
        <f>SUM(I271:I281)</f>
        <v>16.190000000000001</v>
      </c>
    </row>
    <row r="285" spans="1:9">
      <c r="A285" s="7" t="s">
        <v>111</v>
      </c>
      <c r="B285" s="19" t="s">
        <v>112</v>
      </c>
      <c r="C285" s="19"/>
      <c r="D285" s="19"/>
      <c r="E285" s="19"/>
      <c r="F285" s="19"/>
      <c r="G285" s="19"/>
      <c r="H285" s="19"/>
      <c r="I285" s="19"/>
    </row>
    <row r="286" spans="1:9">
      <c r="A286" s="2"/>
      <c r="B286" s="9" t="s">
        <v>70</v>
      </c>
      <c r="C286" s="9"/>
      <c r="D286" s="21" t="s">
        <v>73</v>
      </c>
      <c r="E286" s="22"/>
      <c r="F286" s="22"/>
      <c r="G286" s="23" t="s">
        <v>71</v>
      </c>
      <c r="H286" s="24"/>
      <c r="I286" s="22" t="s">
        <v>72</v>
      </c>
    </row>
    <row r="287" spans="1:9">
      <c r="A287" s="2"/>
      <c r="B287" s="2"/>
      <c r="C287" s="2"/>
      <c r="D287" s="13"/>
      <c r="E287" s="18"/>
      <c r="F287" s="18"/>
      <c r="G287" s="14"/>
      <c r="H287" s="15"/>
      <c r="I287" s="25">
        <f>ROUND(PRODUCT(ROUND(PRODUCT(D287,E287,F287), 0),G287,H287), 0)</f>
        <v>0</v>
      </c>
    </row>
    <row r="288" spans="1:9">
      <c r="A288" s="2"/>
      <c r="B288" s="1" t="s">
        <v>431</v>
      </c>
      <c r="C288" s="2"/>
      <c r="D288" s="13">
        <v>1</v>
      </c>
      <c r="E288" s="18"/>
      <c r="F288" s="18"/>
      <c r="G288" s="14"/>
      <c r="H288" s="15"/>
      <c r="I288" s="25">
        <f t="shared" ref="I288:I291" si="14">ROUND(PRODUCT(ROUND(PRODUCT(D288,E288,F288), 0),G288,H288), 0)</f>
        <v>1</v>
      </c>
    </row>
    <row r="289" spans="1:9">
      <c r="A289" s="2"/>
      <c r="B289" s="2" t="s">
        <v>421</v>
      </c>
      <c r="C289" s="2"/>
      <c r="D289" s="13">
        <v>1</v>
      </c>
      <c r="E289" s="18"/>
      <c r="F289" s="18"/>
      <c r="G289" s="14"/>
      <c r="H289" s="15"/>
      <c r="I289" s="25">
        <f t="shared" si="14"/>
        <v>1</v>
      </c>
    </row>
    <row r="290" spans="1:9">
      <c r="A290" s="2"/>
      <c r="B290" s="2" t="s">
        <v>422</v>
      </c>
      <c r="C290" s="2"/>
      <c r="D290" s="13">
        <v>1</v>
      </c>
      <c r="E290" s="18"/>
      <c r="F290" s="18"/>
      <c r="G290" s="14"/>
      <c r="H290" s="15"/>
      <c r="I290" s="25">
        <f t="shared" si="14"/>
        <v>1</v>
      </c>
    </row>
    <row r="291" spans="1:9">
      <c r="A291" s="2"/>
      <c r="B291" s="2"/>
      <c r="C291" s="2"/>
      <c r="D291" s="13"/>
      <c r="E291" s="18"/>
      <c r="F291" s="18"/>
      <c r="G291" s="14"/>
      <c r="H291" s="15"/>
      <c r="I291" s="25">
        <f t="shared" si="14"/>
        <v>0</v>
      </c>
    </row>
    <row r="292" spans="1:9">
      <c r="A292" s="2"/>
      <c r="B292" s="2"/>
      <c r="C292" s="2"/>
      <c r="D292" s="16" t="s">
        <v>74</v>
      </c>
      <c r="E292" s="12"/>
      <c r="F292" s="12"/>
      <c r="G292" s="17" t="s">
        <v>75</v>
      </c>
      <c r="H292" s="12" t="s">
        <v>76</v>
      </c>
      <c r="I292" s="31">
        <f>SUM(I287:I291)</f>
        <v>3</v>
      </c>
    </row>
    <row r="295" spans="1:9">
      <c r="A295" s="7" t="s">
        <v>113</v>
      </c>
      <c r="B295" s="19" t="s">
        <v>485</v>
      </c>
      <c r="C295" s="19"/>
      <c r="D295" s="19"/>
      <c r="E295" s="19"/>
      <c r="F295" s="19"/>
      <c r="G295" s="19"/>
      <c r="H295" s="19"/>
      <c r="I295" s="19"/>
    </row>
    <row r="296" spans="1:9">
      <c r="A296" s="2"/>
      <c r="B296" s="9" t="s">
        <v>70</v>
      </c>
      <c r="C296" s="9"/>
      <c r="D296" s="21"/>
      <c r="E296" s="22" t="s">
        <v>89</v>
      </c>
      <c r="F296" s="22"/>
      <c r="G296" s="23" t="s">
        <v>71</v>
      </c>
      <c r="H296" s="24"/>
      <c r="I296" s="22" t="s">
        <v>72</v>
      </c>
    </row>
    <row r="297" spans="1:9">
      <c r="A297" s="2"/>
      <c r="B297" s="2"/>
      <c r="C297" s="2"/>
      <c r="D297" s="13"/>
      <c r="E297" s="18"/>
      <c r="F297" s="18"/>
      <c r="G297" s="14"/>
      <c r="H297" s="15"/>
      <c r="I297" s="26">
        <f>ROUND(PRODUCT(ROUND(PRODUCT(D297,E297,F297), 2),G297,H297), 2)</f>
        <v>0</v>
      </c>
    </row>
    <row r="298" spans="1:9">
      <c r="A298" s="2"/>
      <c r="B298" s="2" t="s">
        <v>385</v>
      </c>
      <c r="C298" s="2" t="s">
        <v>309</v>
      </c>
      <c r="D298" s="13"/>
      <c r="E298" s="18">
        <f>I266</f>
        <v>125.01000000000002</v>
      </c>
      <c r="F298" s="18"/>
      <c r="G298" s="14"/>
      <c r="H298" s="15"/>
      <c r="I298" s="26">
        <f t="shared" ref="I298:I301" si="15">ROUND(PRODUCT(ROUND(PRODUCT(D298,E298,F298), 2),G298,H298), 2)</f>
        <v>125.01</v>
      </c>
    </row>
    <row r="299" spans="1:9">
      <c r="A299" s="2"/>
      <c r="B299" s="2"/>
      <c r="C299" s="2" t="s">
        <v>423</v>
      </c>
      <c r="D299" s="13"/>
      <c r="E299" s="18">
        <f>I282</f>
        <v>16.190000000000001</v>
      </c>
      <c r="F299" s="18"/>
      <c r="G299" s="14"/>
      <c r="H299" s="15"/>
      <c r="I299" s="26">
        <f t="shared" si="15"/>
        <v>16.190000000000001</v>
      </c>
    </row>
    <row r="300" spans="1:9">
      <c r="A300" s="2"/>
      <c r="B300" s="2"/>
      <c r="C300" s="2"/>
      <c r="D300" s="13"/>
      <c r="E300" s="18"/>
      <c r="F300" s="18"/>
      <c r="G300" s="14"/>
      <c r="H300" s="15"/>
      <c r="I300" s="26">
        <f t="shared" si="15"/>
        <v>0</v>
      </c>
    </row>
    <row r="301" spans="1:9">
      <c r="A301" s="2"/>
      <c r="C301" s="2"/>
      <c r="D301" s="13"/>
      <c r="E301" s="18"/>
      <c r="F301" s="18"/>
      <c r="G301" s="14"/>
      <c r="H301" s="15"/>
      <c r="I301" s="26">
        <f t="shared" si="15"/>
        <v>0</v>
      </c>
    </row>
    <row r="302" spans="1:9">
      <c r="A302" s="2"/>
      <c r="B302" s="2"/>
      <c r="C302" s="2"/>
      <c r="D302" s="16" t="s">
        <v>74</v>
      </c>
      <c r="E302" s="12"/>
      <c r="F302" s="12"/>
      <c r="G302" s="17" t="s">
        <v>75</v>
      </c>
      <c r="H302" s="12" t="s">
        <v>91</v>
      </c>
      <c r="I302" s="32">
        <f>SUM(I297:I301)</f>
        <v>141.20000000000002</v>
      </c>
    </row>
    <row r="305" spans="1:9">
      <c r="A305" s="6" t="s">
        <v>114</v>
      </c>
      <c r="B305" s="19" t="s">
        <v>115</v>
      </c>
      <c r="C305" s="19"/>
      <c r="D305" s="19"/>
      <c r="E305" s="19"/>
      <c r="F305" s="19"/>
      <c r="G305" s="19"/>
      <c r="H305" s="19"/>
      <c r="I305" s="19"/>
    </row>
    <row r="308" spans="1:9">
      <c r="A308" s="7" t="s">
        <v>116</v>
      </c>
      <c r="B308" s="19" t="s">
        <v>117</v>
      </c>
      <c r="C308" s="19"/>
      <c r="D308" s="19"/>
      <c r="E308" s="19"/>
      <c r="F308" s="19"/>
      <c r="G308" s="19"/>
      <c r="H308" s="19"/>
      <c r="I308" s="19"/>
    </row>
    <row r="309" spans="1:9">
      <c r="A309" s="2"/>
      <c r="B309" s="9" t="s">
        <v>70</v>
      </c>
      <c r="C309" s="9"/>
      <c r="D309" s="21" t="s">
        <v>73</v>
      </c>
      <c r="E309" s="22"/>
      <c r="F309" s="22"/>
      <c r="G309" s="23" t="s">
        <v>71</v>
      </c>
      <c r="H309" s="24"/>
      <c r="I309" s="22" t="s">
        <v>72</v>
      </c>
    </row>
    <row r="310" spans="1:9">
      <c r="A310" s="2"/>
      <c r="B310" s="2"/>
      <c r="C310" s="2"/>
      <c r="D310" s="13"/>
      <c r="E310" s="18"/>
      <c r="F310" s="18"/>
      <c r="G310" s="14"/>
      <c r="H310" s="15"/>
      <c r="I310" s="26">
        <f>ROUND(PRODUCT(ROUND(PRODUCT(D310,E310,F310), 0),G310,H310), 0)</f>
        <v>0</v>
      </c>
    </row>
    <row r="311" spans="1:9">
      <c r="A311" s="2"/>
      <c r="B311" s="1" t="s">
        <v>386</v>
      </c>
      <c r="C311" s="2"/>
      <c r="D311" s="13">
        <v>20</v>
      </c>
      <c r="E311" s="18"/>
      <c r="F311" s="18"/>
      <c r="G311" s="14"/>
      <c r="H311" s="15"/>
      <c r="I311" s="26">
        <f t="shared" ref="I311:I313" si="16">ROUND(PRODUCT(ROUND(PRODUCT(D311,E311,F311), 0),G311,H311), 0)</f>
        <v>20</v>
      </c>
    </row>
    <row r="312" spans="1:9">
      <c r="A312" s="2"/>
      <c r="B312" s="2"/>
      <c r="C312" s="2"/>
      <c r="D312" s="13"/>
      <c r="E312" s="18"/>
      <c r="F312" s="18"/>
      <c r="G312" s="14"/>
      <c r="H312" s="15"/>
      <c r="I312" s="26">
        <f t="shared" si="16"/>
        <v>0</v>
      </c>
    </row>
    <row r="313" spans="1:9">
      <c r="A313" s="2"/>
      <c r="B313" s="2"/>
      <c r="C313" s="2"/>
      <c r="D313" s="13"/>
      <c r="E313" s="18"/>
      <c r="F313" s="18"/>
      <c r="G313" s="14"/>
      <c r="H313" s="15"/>
      <c r="I313" s="26">
        <f t="shared" si="16"/>
        <v>0</v>
      </c>
    </row>
    <row r="314" spans="1:9">
      <c r="A314" s="2"/>
      <c r="B314" s="2"/>
      <c r="C314" s="2"/>
      <c r="D314" s="16" t="s">
        <v>74</v>
      </c>
      <c r="E314" s="12"/>
      <c r="F314" s="12"/>
      <c r="G314" s="17" t="s">
        <v>75</v>
      </c>
      <c r="H314" s="12" t="s">
        <v>91</v>
      </c>
      <c r="I314" s="99">
        <f>SUM(I310:I313)</f>
        <v>20</v>
      </c>
    </row>
    <row r="317" spans="1:9">
      <c r="A317" s="7" t="s">
        <v>118</v>
      </c>
      <c r="B317" s="19" t="s">
        <v>387</v>
      </c>
      <c r="C317" s="19"/>
      <c r="D317" s="19"/>
      <c r="E317" s="19"/>
      <c r="F317" s="19"/>
      <c r="G317" s="19"/>
      <c r="H317" s="19"/>
      <c r="I317" s="19"/>
    </row>
    <row r="318" spans="1:9">
      <c r="A318" s="2"/>
      <c r="B318" s="9" t="s">
        <v>70</v>
      </c>
      <c r="C318" s="9"/>
      <c r="D318" s="21" t="s">
        <v>73</v>
      </c>
      <c r="E318" s="22"/>
      <c r="F318" s="22"/>
      <c r="G318" s="23" t="s">
        <v>71</v>
      </c>
      <c r="H318" s="24"/>
      <c r="I318" s="22" t="s">
        <v>72</v>
      </c>
    </row>
    <row r="319" spans="1:9">
      <c r="A319" s="2"/>
      <c r="B319" s="2"/>
      <c r="C319" s="2"/>
      <c r="D319" s="13"/>
      <c r="E319" s="18"/>
      <c r="F319" s="18"/>
      <c r="G319" s="14"/>
      <c r="H319" s="15"/>
      <c r="I319" s="25">
        <f>ROUND(PRODUCT(ROUND(PRODUCT(D319,E319,F319), 0),G319,H319), 0)</f>
        <v>0</v>
      </c>
    </row>
    <row r="320" spans="1:9">
      <c r="A320" s="2"/>
      <c r="B320" s="1" t="s">
        <v>424</v>
      </c>
      <c r="C320" s="2"/>
      <c r="D320" s="13">
        <v>1</v>
      </c>
      <c r="E320" s="18"/>
      <c r="F320" s="18"/>
      <c r="G320" s="14"/>
      <c r="H320" s="15"/>
      <c r="I320" s="25">
        <f t="shared" ref="I320:I322" si="17">ROUND(PRODUCT(ROUND(PRODUCT(D320,E320,F320), 0),G320,H320), 0)</f>
        <v>1</v>
      </c>
    </row>
    <row r="321" spans="1:9">
      <c r="A321" s="2"/>
      <c r="B321" s="2"/>
      <c r="C321" s="2"/>
      <c r="D321" s="13"/>
      <c r="E321" s="18"/>
      <c r="F321" s="18"/>
      <c r="G321" s="14"/>
      <c r="H321" s="15"/>
      <c r="I321" s="25">
        <f t="shared" si="17"/>
        <v>0</v>
      </c>
    </row>
    <row r="322" spans="1:9">
      <c r="A322" s="2"/>
      <c r="B322" s="2"/>
      <c r="C322" s="2"/>
      <c r="D322" s="13"/>
      <c r="E322" s="18"/>
      <c r="F322" s="18"/>
      <c r="G322" s="14"/>
      <c r="H322" s="15"/>
      <c r="I322" s="25">
        <f t="shared" si="17"/>
        <v>0</v>
      </c>
    </row>
    <row r="323" spans="1:9">
      <c r="A323" s="2"/>
      <c r="B323" s="2"/>
      <c r="C323" s="2"/>
      <c r="D323" s="16" t="s">
        <v>74</v>
      </c>
      <c r="E323" s="12"/>
      <c r="F323" s="12"/>
      <c r="G323" s="17" t="s">
        <v>75</v>
      </c>
      <c r="H323" s="12" t="s">
        <v>76</v>
      </c>
      <c r="I323" s="31">
        <f>SUM(I319:I322)</f>
        <v>1</v>
      </c>
    </row>
    <row r="326" spans="1:9">
      <c r="A326" s="7" t="s">
        <v>119</v>
      </c>
      <c r="B326" s="19" t="s">
        <v>120</v>
      </c>
      <c r="C326" s="19"/>
      <c r="D326" s="19"/>
      <c r="E326" s="19"/>
      <c r="F326" s="19"/>
      <c r="G326" s="19"/>
      <c r="H326" s="19"/>
      <c r="I326" s="19"/>
    </row>
    <row r="327" spans="1:9">
      <c r="A327" s="2"/>
      <c r="B327" s="9" t="s">
        <v>70</v>
      </c>
      <c r="C327" s="9"/>
      <c r="D327" s="21" t="s">
        <v>73</v>
      </c>
      <c r="E327" s="22"/>
      <c r="F327" s="22"/>
      <c r="G327" s="23" t="s">
        <v>71</v>
      </c>
      <c r="H327" s="24"/>
      <c r="I327" s="22" t="s">
        <v>72</v>
      </c>
    </row>
    <row r="328" spans="1:9">
      <c r="A328" s="2"/>
      <c r="B328" s="2"/>
      <c r="C328" s="2"/>
      <c r="D328" s="13"/>
      <c r="E328" s="18"/>
      <c r="F328" s="18"/>
      <c r="G328" s="14"/>
      <c r="H328" s="15"/>
      <c r="I328" s="25">
        <f>ROUND(PRODUCT(ROUND(PRODUCT(D328,E328,F328), 0),G328,H328), 0)</f>
        <v>0</v>
      </c>
    </row>
    <row r="329" spans="1:9">
      <c r="A329" s="2"/>
      <c r="B329" s="1" t="s">
        <v>388</v>
      </c>
      <c r="C329" s="2"/>
      <c r="D329" s="13">
        <v>1</v>
      </c>
      <c r="E329" s="18"/>
      <c r="F329" s="18"/>
      <c r="G329" s="14"/>
      <c r="H329" s="15"/>
      <c r="I329" s="25">
        <f t="shared" ref="I329:I331" si="18">ROUND(PRODUCT(ROUND(PRODUCT(D329,E329,F329), 0),G329,H329), 0)</f>
        <v>1</v>
      </c>
    </row>
    <row r="330" spans="1:9">
      <c r="A330" s="2"/>
      <c r="B330" s="2"/>
      <c r="C330" s="2"/>
      <c r="D330" s="13"/>
      <c r="E330" s="18"/>
      <c r="F330" s="18"/>
      <c r="G330" s="14"/>
      <c r="H330" s="15"/>
      <c r="I330" s="25">
        <f t="shared" si="18"/>
        <v>0</v>
      </c>
    </row>
    <row r="331" spans="1:9">
      <c r="A331" s="2"/>
      <c r="B331" s="2"/>
      <c r="C331" s="2"/>
      <c r="D331" s="13"/>
      <c r="E331" s="18"/>
      <c r="F331" s="18"/>
      <c r="G331" s="14"/>
      <c r="H331" s="15"/>
      <c r="I331" s="25">
        <f t="shared" si="18"/>
        <v>0</v>
      </c>
    </row>
    <row r="332" spans="1:9">
      <c r="A332" s="2"/>
      <c r="B332" s="2"/>
      <c r="C332" s="2"/>
      <c r="D332" s="16" t="s">
        <v>74</v>
      </c>
      <c r="E332" s="12"/>
      <c r="F332" s="12"/>
      <c r="G332" s="17" t="s">
        <v>75</v>
      </c>
      <c r="H332" s="12" t="s">
        <v>76</v>
      </c>
      <c r="I332" s="31">
        <f>SUM(I328:I331)</f>
        <v>1</v>
      </c>
    </row>
    <row r="335" spans="1:9">
      <c r="A335" s="6" t="s">
        <v>121</v>
      </c>
      <c r="B335" s="19" t="s">
        <v>122</v>
      </c>
      <c r="C335" s="19"/>
      <c r="D335" s="19"/>
      <c r="E335" s="19"/>
      <c r="F335" s="19"/>
      <c r="G335" s="19"/>
      <c r="H335" s="19"/>
      <c r="I335" s="19"/>
    </row>
    <row r="338" spans="1:9">
      <c r="A338" s="6" t="s">
        <v>123</v>
      </c>
      <c r="B338" s="19" t="s">
        <v>124</v>
      </c>
      <c r="C338" s="19"/>
      <c r="D338" s="19"/>
      <c r="E338" s="19"/>
      <c r="F338" s="19"/>
      <c r="G338" s="19"/>
      <c r="H338" s="19"/>
      <c r="I338" s="19"/>
    </row>
    <row r="341" spans="1:9">
      <c r="A341" s="6" t="s">
        <v>125</v>
      </c>
      <c r="B341" s="19" t="s">
        <v>126</v>
      </c>
      <c r="C341" s="19"/>
      <c r="D341" s="19"/>
      <c r="E341" s="19"/>
      <c r="F341" s="19"/>
      <c r="G341" s="19"/>
      <c r="H341" s="19"/>
      <c r="I341" s="19"/>
    </row>
    <row r="344" spans="1:9">
      <c r="A344" s="7" t="s">
        <v>127</v>
      </c>
      <c r="B344" s="19" t="s">
        <v>128</v>
      </c>
      <c r="C344" s="19"/>
      <c r="D344" s="19"/>
      <c r="E344" s="19"/>
      <c r="F344" s="19"/>
      <c r="G344" s="19"/>
      <c r="H344" s="19"/>
      <c r="I344" s="19"/>
    </row>
    <row r="347" spans="1:9">
      <c r="A347" s="8" t="s">
        <v>373</v>
      </c>
      <c r="B347" s="19" t="s">
        <v>426</v>
      </c>
      <c r="C347" s="19"/>
      <c r="D347" s="19"/>
      <c r="E347" s="19"/>
      <c r="F347" s="19"/>
      <c r="G347" s="19"/>
      <c r="H347" s="19"/>
      <c r="I347" s="19"/>
    </row>
    <row r="348" spans="1:9">
      <c r="A348" s="2"/>
      <c r="B348" s="9" t="s">
        <v>70</v>
      </c>
      <c r="C348" s="9"/>
      <c r="D348" s="21" t="s">
        <v>73</v>
      </c>
      <c r="E348" s="22"/>
      <c r="F348" s="22"/>
      <c r="G348" s="23" t="s">
        <v>71</v>
      </c>
      <c r="H348" s="24"/>
      <c r="I348" s="22" t="s">
        <v>72</v>
      </c>
    </row>
    <row r="349" spans="1:9">
      <c r="A349" s="2"/>
      <c r="B349" s="2"/>
      <c r="C349" s="2"/>
      <c r="D349" s="13"/>
      <c r="E349" s="18"/>
      <c r="F349" s="18"/>
      <c r="G349" s="14"/>
      <c r="H349" s="15"/>
      <c r="I349" s="25">
        <f>ROUND(PRODUCT(ROUND(PRODUCT(D349,E349,F349), 0),G349,H349), 0)</f>
        <v>0</v>
      </c>
    </row>
    <row r="350" spans="1:9">
      <c r="A350" s="2"/>
      <c r="C350" s="2"/>
      <c r="D350" s="13">
        <v>3</v>
      </c>
      <c r="E350" s="18"/>
      <c r="F350" s="18"/>
      <c r="G350" s="14"/>
      <c r="H350" s="15"/>
      <c r="I350" s="25">
        <f t="shared" ref="I350:I353" si="19">ROUND(PRODUCT(ROUND(PRODUCT(D350,E350,F350), 0),G350,H350), 0)</f>
        <v>3</v>
      </c>
    </row>
    <row r="351" spans="1:9">
      <c r="A351" s="2"/>
      <c r="B351" s="2"/>
      <c r="C351" s="2"/>
      <c r="D351" s="13"/>
      <c r="E351" s="18"/>
      <c r="F351" s="18"/>
      <c r="G351" s="14"/>
      <c r="H351" s="15"/>
      <c r="I351" s="25">
        <f t="shared" si="19"/>
        <v>0</v>
      </c>
    </row>
    <row r="352" spans="1:9">
      <c r="A352" s="2"/>
      <c r="B352" s="2"/>
      <c r="C352" s="2"/>
      <c r="D352" s="13"/>
      <c r="E352" s="18"/>
      <c r="F352" s="18"/>
      <c r="G352" s="14"/>
      <c r="H352" s="15"/>
      <c r="I352" s="25">
        <f t="shared" si="19"/>
        <v>0</v>
      </c>
    </row>
    <row r="353" spans="1:9">
      <c r="A353" s="2"/>
      <c r="B353" s="2"/>
      <c r="C353" s="2"/>
      <c r="D353" s="13"/>
      <c r="E353" s="18"/>
      <c r="F353" s="18"/>
      <c r="G353" s="14"/>
      <c r="H353" s="15"/>
      <c r="I353" s="25">
        <f t="shared" si="19"/>
        <v>0</v>
      </c>
    </row>
    <row r="354" spans="1:9">
      <c r="A354" s="2"/>
      <c r="B354" s="2"/>
      <c r="C354" s="2"/>
      <c r="D354" s="16" t="s">
        <v>74</v>
      </c>
      <c r="E354" s="12"/>
      <c r="F354" s="12"/>
      <c r="G354" s="17" t="s">
        <v>75</v>
      </c>
      <c r="H354" s="12" t="s">
        <v>76</v>
      </c>
      <c r="I354" s="31">
        <f>SUM(I349:I353)</f>
        <v>3</v>
      </c>
    </row>
    <row r="357" spans="1:9">
      <c r="A357" s="8" t="s">
        <v>374</v>
      </c>
      <c r="B357" s="19" t="s">
        <v>440</v>
      </c>
      <c r="C357" s="19"/>
      <c r="D357" s="19"/>
      <c r="E357" s="19"/>
      <c r="F357" s="19"/>
      <c r="G357" s="19"/>
      <c r="H357" s="19"/>
      <c r="I357" s="19"/>
    </row>
    <row r="358" spans="1:9">
      <c r="A358" s="2"/>
      <c r="B358" s="9" t="s">
        <v>70</v>
      </c>
      <c r="C358" s="9"/>
      <c r="D358" s="21" t="s">
        <v>73</v>
      </c>
      <c r="E358" s="22"/>
      <c r="F358" s="22"/>
      <c r="G358" s="23" t="s">
        <v>71</v>
      </c>
      <c r="H358" s="24"/>
      <c r="I358" s="22" t="s">
        <v>72</v>
      </c>
    </row>
    <row r="359" spans="1:9">
      <c r="A359" s="2"/>
      <c r="B359" s="2"/>
      <c r="C359" s="2"/>
      <c r="D359" s="13"/>
      <c r="E359" s="18"/>
      <c r="F359" s="18"/>
      <c r="G359" s="14"/>
      <c r="H359" s="15"/>
      <c r="I359" s="25">
        <f>ROUND(PRODUCT(ROUND(PRODUCT(D359,E359,F359), 0),G359,H359), 0)</f>
        <v>0</v>
      </c>
    </row>
    <row r="360" spans="1:9">
      <c r="A360" s="2"/>
      <c r="C360" s="2"/>
      <c r="D360" s="13">
        <v>1</v>
      </c>
      <c r="E360" s="18"/>
      <c r="F360" s="18"/>
      <c r="G360" s="14"/>
      <c r="H360" s="15"/>
      <c r="I360" s="25">
        <f t="shared" ref="I360:I363" si="20">ROUND(PRODUCT(ROUND(PRODUCT(D360,E360,F360), 0),G360,H360), 0)</f>
        <v>1</v>
      </c>
    </row>
    <row r="361" spans="1:9">
      <c r="A361" s="2"/>
      <c r="B361" s="2"/>
      <c r="C361" s="2"/>
      <c r="D361" s="13"/>
      <c r="E361" s="18"/>
      <c r="F361" s="18"/>
      <c r="G361" s="14"/>
      <c r="H361" s="15"/>
      <c r="I361" s="25">
        <f t="shared" si="20"/>
        <v>0</v>
      </c>
    </row>
    <row r="362" spans="1:9">
      <c r="A362" s="2"/>
      <c r="B362" s="2"/>
      <c r="C362" s="2"/>
      <c r="D362" s="13"/>
      <c r="E362" s="18"/>
      <c r="F362" s="18"/>
      <c r="G362" s="14"/>
      <c r="H362" s="15"/>
      <c r="I362" s="25">
        <f t="shared" si="20"/>
        <v>0</v>
      </c>
    </row>
    <row r="363" spans="1:9">
      <c r="A363" s="2"/>
      <c r="B363" s="2"/>
      <c r="C363" s="2"/>
      <c r="D363" s="13"/>
      <c r="E363" s="18"/>
      <c r="F363" s="18"/>
      <c r="G363" s="14"/>
      <c r="H363" s="15"/>
      <c r="I363" s="25">
        <f t="shared" si="20"/>
        <v>0</v>
      </c>
    </row>
    <row r="364" spans="1:9">
      <c r="A364" s="2"/>
      <c r="B364" s="2"/>
      <c r="C364" s="2"/>
      <c r="D364" s="16" t="s">
        <v>74</v>
      </c>
      <c r="E364" s="12"/>
      <c r="F364" s="12"/>
      <c r="G364" s="17" t="s">
        <v>75</v>
      </c>
      <c r="H364" s="12" t="s">
        <v>76</v>
      </c>
      <c r="I364" s="31">
        <f>SUM(I359:I363)</f>
        <v>1</v>
      </c>
    </row>
    <row r="367" spans="1:9">
      <c r="A367" s="8" t="s">
        <v>375</v>
      </c>
      <c r="B367" s="19" t="s">
        <v>311</v>
      </c>
      <c r="C367" s="19"/>
      <c r="D367" s="19"/>
      <c r="E367" s="19"/>
      <c r="F367" s="19"/>
      <c r="G367" s="19"/>
      <c r="H367" s="19"/>
      <c r="I367" s="19"/>
    </row>
    <row r="368" spans="1:9">
      <c r="D368" s="16" t="s">
        <v>74</v>
      </c>
      <c r="E368" s="12"/>
      <c r="F368" s="12"/>
      <c r="G368" s="17"/>
      <c r="H368" s="12" t="s">
        <v>297</v>
      </c>
      <c r="I368" s="10"/>
    </row>
    <row r="371" spans="1:9">
      <c r="A371" s="8" t="s">
        <v>425</v>
      </c>
      <c r="B371" s="19" t="s">
        <v>427</v>
      </c>
      <c r="C371" s="19"/>
      <c r="D371" s="19"/>
      <c r="E371" s="19"/>
      <c r="F371" s="19"/>
      <c r="G371" s="19"/>
      <c r="H371" s="19"/>
      <c r="I371" s="19"/>
    </row>
    <row r="372" spans="1:9">
      <c r="D372" s="16" t="s">
        <v>74</v>
      </c>
      <c r="E372" s="12"/>
      <c r="F372" s="12"/>
      <c r="G372" s="17"/>
      <c r="H372" s="12" t="s">
        <v>297</v>
      </c>
      <c r="I372" s="10"/>
    </row>
    <row r="375" spans="1:9">
      <c r="A375" s="6" t="s">
        <v>129</v>
      </c>
      <c r="B375" s="19" t="s">
        <v>130</v>
      </c>
      <c r="C375" s="19"/>
      <c r="D375" s="19"/>
      <c r="E375" s="19"/>
      <c r="F375" s="19"/>
      <c r="G375" s="19"/>
      <c r="H375" s="19"/>
      <c r="I375" s="19"/>
    </row>
    <row r="378" spans="1:9">
      <c r="A378" s="7" t="s">
        <v>131</v>
      </c>
      <c r="B378" s="19" t="s">
        <v>132</v>
      </c>
      <c r="C378" s="19"/>
      <c r="D378" s="19"/>
      <c r="E378" s="19"/>
      <c r="F378" s="19"/>
      <c r="G378" s="19"/>
      <c r="H378" s="19"/>
      <c r="I378" s="19"/>
    </row>
    <row r="381" spans="1:9">
      <c r="A381" s="8" t="s">
        <v>381</v>
      </c>
      <c r="B381" s="19" t="s">
        <v>441</v>
      </c>
      <c r="C381" s="19"/>
      <c r="D381" s="19"/>
      <c r="E381" s="19"/>
      <c r="F381" s="19"/>
      <c r="G381" s="19"/>
      <c r="H381" s="19"/>
      <c r="I381" s="19"/>
    </row>
    <row r="382" spans="1:9">
      <c r="A382" s="2"/>
      <c r="B382" s="9" t="s">
        <v>70</v>
      </c>
      <c r="C382" s="9"/>
      <c r="D382" s="21" t="s">
        <v>73</v>
      </c>
      <c r="E382" s="22"/>
      <c r="F382" s="22"/>
      <c r="G382" s="23" t="s">
        <v>71</v>
      </c>
      <c r="H382" s="24"/>
      <c r="I382" s="22" t="s">
        <v>72</v>
      </c>
    </row>
    <row r="383" spans="1:9">
      <c r="A383" s="2"/>
      <c r="B383" s="2"/>
      <c r="C383" s="2"/>
      <c r="D383" s="13"/>
      <c r="E383" s="18"/>
      <c r="F383" s="18"/>
      <c r="G383" s="14"/>
      <c r="H383" s="15"/>
      <c r="I383" s="25">
        <f>ROUND(PRODUCT(ROUND(PRODUCT(D383,E383,F383), 0),G383,H383), 0)</f>
        <v>0</v>
      </c>
    </row>
    <row r="384" spans="1:9">
      <c r="A384" s="2"/>
      <c r="C384" s="2"/>
      <c r="D384" s="13">
        <v>1</v>
      </c>
      <c r="E384" s="18"/>
      <c r="F384" s="18"/>
      <c r="G384" s="14"/>
      <c r="H384" s="15"/>
      <c r="I384" s="25">
        <f t="shared" ref="I384:I386" si="21">ROUND(PRODUCT(ROUND(PRODUCT(D384,E384,F384), 0),G384,H384), 0)</f>
        <v>1</v>
      </c>
    </row>
    <row r="385" spans="1:9">
      <c r="A385" s="2"/>
      <c r="B385" s="2"/>
      <c r="C385" s="2"/>
      <c r="D385" s="13"/>
      <c r="E385" s="18"/>
      <c r="F385" s="18"/>
      <c r="G385" s="14"/>
      <c r="H385" s="15"/>
      <c r="I385" s="25">
        <f t="shared" si="21"/>
        <v>0</v>
      </c>
    </row>
    <row r="386" spans="1:9">
      <c r="A386" s="2"/>
      <c r="B386" s="2"/>
      <c r="C386" s="2"/>
      <c r="D386" s="13"/>
      <c r="E386" s="18"/>
      <c r="F386" s="18"/>
      <c r="G386" s="14"/>
      <c r="H386" s="15"/>
      <c r="I386" s="25">
        <f t="shared" si="21"/>
        <v>0</v>
      </c>
    </row>
    <row r="387" spans="1:9">
      <c r="A387" s="2"/>
      <c r="B387" s="2"/>
      <c r="C387" s="2"/>
      <c r="D387" s="16" t="s">
        <v>74</v>
      </c>
      <c r="E387" s="12"/>
      <c r="F387" s="12"/>
      <c r="G387" s="17" t="s">
        <v>75</v>
      </c>
      <c r="H387" s="12" t="s">
        <v>76</v>
      </c>
      <c r="I387" s="31">
        <f>SUM(I383:I386)</f>
        <v>1</v>
      </c>
    </row>
    <row r="390" spans="1:9">
      <c r="A390" s="6" t="s">
        <v>133</v>
      </c>
      <c r="B390" s="19" t="s">
        <v>134</v>
      </c>
      <c r="C390" s="19"/>
      <c r="D390" s="19"/>
      <c r="E390" s="19"/>
      <c r="F390" s="19"/>
      <c r="G390" s="19"/>
      <c r="H390" s="19"/>
      <c r="I390" s="19"/>
    </row>
    <row r="393" spans="1:9">
      <c r="A393" s="7" t="s">
        <v>135</v>
      </c>
      <c r="B393" s="19" t="s">
        <v>428</v>
      </c>
      <c r="C393" s="19"/>
      <c r="D393" s="19"/>
      <c r="E393" s="19"/>
      <c r="F393" s="19"/>
      <c r="G393" s="19"/>
      <c r="H393" s="19"/>
      <c r="I393" s="19"/>
    </row>
    <row r="394" spans="1:9">
      <c r="A394" s="2"/>
      <c r="B394" s="9" t="s">
        <v>70</v>
      </c>
      <c r="C394" s="9"/>
      <c r="D394" s="21" t="s">
        <v>73</v>
      </c>
      <c r="E394" s="22"/>
      <c r="F394" s="22"/>
      <c r="G394" s="23" t="s">
        <v>71</v>
      </c>
      <c r="H394" s="24"/>
      <c r="I394" s="22" t="s">
        <v>72</v>
      </c>
    </row>
    <row r="395" spans="1:9">
      <c r="A395" s="2"/>
      <c r="B395" s="2"/>
      <c r="C395" s="2"/>
      <c r="D395" s="13"/>
      <c r="E395" s="18"/>
      <c r="F395" s="18"/>
      <c r="G395" s="14"/>
      <c r="H395" s="15"/>
      <c r="I395" s="25">
        <f>ROUND(PRODUCT(ROUND(PRODUCT(D395,E395,F395), 0),G395,H395), 0)</f>
        <v>0</v>
      </c>
    </row>
    <row r="396" spans="1:9">
      <c r="A396" s="2"/>
      <c r="B396" s="1" t="s">
        <v>341</v>
      </c>
      <c r="C396" s="2"/>
      <c r="D396" s="13">
        <v>1</v>
      </c>
      <c r="E396" s="18"/>
      <c r="F396" s="18"/>
      <c r="G396" s="14"/>
      <c r="H396" s="15"/>
      <c r="I396" s="25">
        <f>ROUND(PRODUCT(ROUND(PRODUCT(D396,E396,F396), 0),G396,H396), 0)</f>
        <v>1</v>
      </c>
    </row>
    <row r="397" spans="1:9">
      <c r="A397" s="2"/>
      <c r="C397" s="2"/>
      <c r="D397" s="13"/>
      <c r="E397" s="18"/>
      <c r="F397" s="18"/>
      <c r="G397" s="14"/>
      <c r="H397" s="15"/>
      <c r="I397" s="25">
        <f>ROUND(PRODUCT(ROUND(PRODUCT(D397,E397,F397), 0),G397,H397), 0)</f>
        <v>0</v>
      </c>
    </row>
    <row r="398" spans="1:9">
      <c r="A398" s="2"/>
      <c r="B398" s="2"/>
      <c r="C398" s="2"/>
      <c r="D398" s="13"/>
      <c r="E398" s="18"/>
      <c r="F398" s="18"/>
      <c r="G398" s="14"/>
      <c r="H398" s="15"/>
      <c r="I398" s="25">
        <f>ROUND(PRODUCT(ROUND(PRODUCT(D398,E398,F398), 0),G398,H398), 0)</f>
        <v>0</v>
      </c>
    </row>
    <row r="399" spans="1:9">
      <c r="A399" s="2"/>
      <c r="B399" s="2"/>
      <c r="C399" s="2"/>
      <c r="D399" s="13"/>
      <c r="E399" s="18"/>
      <c r="F399" s="18"/>
      <c r="G399" s="14"/>
      <c r="H399" s="15"/>
      <c r="I399" s="25">
        <f t="shared" ref="I399:I400" si="22">ROUND(PRODUCT(ROUND(PRODUCT(D399,E399,F399), 0),G399,H399), 0)</f>
        <v>0</v>
      </c>
    </row>
    <row r="400" spans="1:9">
      <c r="A400" s="2"/>
      <c r="B400" s="2"/>
      <c r="C400" s="2"/>
      <c r="D400" s="13"/>
      <c r="E400" s="18"/>
      <c r="F400" s="18"/>
      <c r="G400" s="14"/>
      <c r="H400" s="15"/>
      <c r="I400" s="25">
        <f t="shared" si="22"/>
        <v>0</v>
      </c>
    </row>
    <row r="401" spans="1:9">
      <c r="A401" s="2"/>
      <c r="B401" s="2"/>
      <c r="C401" s="2"/>
      <c r="D401" s="16" t="s">
        <v>74</v>
      </c>
      <c r="E401" s="12"/>
      <c r="F401" s="12"/>
      <c r="G401" s="17" t="s">
        <v>75</v>
      </c>
      <c r="H401" s="12" t="s">
        <v>76</v>
      </c>
      <c r="I401" s="31">
        <f>SUM(I395:I400)</f>
        <v>1</v>
      </c>
    </row>
    <row r="404" spans="1:9">
      <c r="A404" s="6" t="s">
        <v>136</v>
      </c>
      <c r="B404" s="19" t="s">
        <v>137</v>
      </c>
      <c r="C404" s="19"/>
      <c r="D404" s="19"/>
      <c r="E404" s="19"/>
      <c r="F404" s="19"/>
      <c r="G404" s="19"/>
      <c r="H404" s="19"/>
      <c r="I404" s="19"/>
    </row>
    <row r="407" spans="1:9">
      <c r="A407" s="7" t="s">
        <v>138</v>
      </c>
      <c r="B407" s="19" t="s">
        <v>139</v>
      </c>
      <c r="C407" s="19"/>
      <c r="D407" s="19"/>
      <c r="E407" s="19"/>
      <c r="F407" s="19"/>
      <c r="G407" s="19"/>
      <c r="H407" s="19"/>
      <c r="I407" s="19"/>
    </row>
    <row r="410" spans="1:9">
      <c r="A410" s="8" t="s">
        <v>312</v>
      </c>
      <c r="B410" s="19" t="s">
        <v>313</v>
      </c>
      <c r="C410" s="19"/>
      <c r="D410" s="19"/>
      <c r="E410" s="19"/>
      <c r="F410" s="19"/>
      <c r="G410" s="19"/>
      <c r="H410" s="19"/>
      <c r="I410" s="19"/>
    </row>
    <row r="411" spans="1:9">
      <c r="A411" s="2"/>
      <c r="B411" s="9" t="s">
        <v>70</v>
      </c>
      <c r="C411" s="9"/>
      <c r="D411" s="21" t="s">
        <v>73</v>
      </c>
      <c r="E411" s="22"/>
      <c r="F411" s="22"/>
      <c r="G411" s="23" t="s">
        <v>71</v>
      </c>
      <c r="H411" s="24"/>
      <c r="I411" s="22" t="s">
        <v>72</v>
      </c>
    </row>
    <row r="412" spans="1:9">
      <c r="A412" s="2"/>
      <c r="B412" s="2"/>
      <c r="C412" s="2"/>
      <c r="D412" s="13"/>
      <c r="E412" s="18"/>
      <c r="F412" s="18"/>
      <c r="G412" s="14"/>
      <c r="H412" s="15"/>
      <c r="I412" s="25">
        <f>ROUND(PRODUCT(ROUND(PRODUCT(D412,E412,F412), 0),G412,H412), 0)</f>
        <v>0</v>
      </c>
    </row>
    <row r="413" spans="1:9">
      <c r="A413" s="2"/>
      <c r="B413" s="1" t="s">
        <v>342</v>
      </c>
      <c r="C413" s="2"/>
      <c r="D413" s="13">
        <v>1</v>
      </c>
      <c r="E413" s="18"/>
      <c r="F413" s="18"/>
      <c r="G413" s="14"/>
      <c r="H413" s="15"/>
      <c r="I413" s="25">
        <f t="shared" ref="I413:I415" si="23">ROUND(PRODUCT(ROUND(PRODUCT(D413,E413,F413), 0),G413,H413), 0)</f>
        <v>1</v>
      </c>
    </row>
    <row r="414" spans="1:9">
      <c r="A414" s="2"/>
      <c r="B414" s="2"/>
      <c r="C414" s="2"/>
      <c r="D414" s="13"/>
      <c r="E414" s="18"/>
      <c r="F414" s="18"/>
      <c r="G414" s="14"/>
      <c r="H414" s="15"/>
      <c r="I414" s="25">
        <f t="shared" si="23"/>
        <v>0</v>
      </c>
    </row>
    <row r="415" spans="1:9">
      <c r="A415" s="2"/>
      <c r="B415" s="2"/>
      <c r="C415" s="2"/>
      <c r="D415" s="13"/>
      <c r="E415" s="18"/>
      <c r="F415" s="18"/>
      <c r="G415" s="14"/>
      <c r="H415" s="15"/>
      <c r="I415" s="25">
        <f t="shared" si="23"/>
        <v>0</v>
      </c>
    </row>
    <row r="416" spans="1:9">
      <c r="A416" s="2"/>
      <c r="B416" s="2"/>
      <c r="C416" s="2"/>
      <c r="D416" s="16" t="s">
        <v>74</v>
      </c>
      <c r="E416" s="12"/>
      <c r="F416" s="12"/>
      <c r="G416" s="17" t="s">
        <v>75</v>
      </c>
      <c r="H416" s="12" t="s">
        <v>76</v>
      </c>
      <c r="I416" s="31">
        <f>SUM(I412:I415)</f>
        <v>1</v>
      </c>
    </row>
    <row r="419" spans="1:9">
      <c r="A419" s="8" t="s">
        <v>314</v>
      </c>
      <c r="B419" s="19" t="s">
        <v>315</v>
      </c>
      <c r="C419" s="19"/>
      <c r="D419" s="19"/>
      <c r="E419" s="19"/>
      <c r="F419" s="19"/>
      <c r="G419" s="19"/>
      <c r="H419" s="19"/>
      <c r="I419" s="19"/>
    </row>
    <row r="420" spans="1:9">
      <c r="A420" s="2"/>
      <c r="B420" s="9" t="s">
        <v>70</v>
      </c>
      <c r="C420" s="9"/>
      <c r="D420" s="21" t="s">
        <v>73</v>
      </c>
      <c r="E420" s="22"/>
      <c r="F420" s="22"/>
      <c r="G420" s="23" t="s">
        <v>71</v>
      </c>
      <c r="H420" s="24"/>
      <c r="I420" s="22" t="s">
        <v>72</v>
      </c>
    </row>
    <row r="421" spans="1:9">
      <c r="A421" s="2"/>
      <c r="B421" s="2"/>
      <c r="C421" s="2"/>
      <c r="D421" s="13"/>
      <c r="E421" s="18"/>
      <c r="F421" s="18"/>
      <c r="G421" s="14"/>
      <c r="H421" s="15"/>
      <c r="I421" s="25">
        <f>ROUND(PRODUCT(ROUND(PRODUCT(D421,E421,F421), 0),G421,H421), 0)</f>
        <v>0</v>
      </c>
    </row>
    <row r="422" spans="1:9">
      <c r="A422" s="2"/>
      <c r="B422" s="1" t="s">
        <v>342</v>
      </c>
      <c r="C422" s="2"/>
      <c r="D422" s="13">
        <v>1</v>
      </c>
      <c r="E422" s="18"/>
      <c r="F422" s="18"/>
      <c r="G422" s="14"/>
      <c r="H422" s="15"/>
      <c r="I422" s="25">
        <f t="shared" ref="I422:I424" si="24">ROUND(PRODUCT(ROUND(PRODUCT(D422,E422,F422), 0),G422,H422), 0)</f>
        <v>1</v>
      </c>
    </row>
    <row r="423" spans="1:9">
      <c r="A423" s="2"/>
      <c r="B423" s="2"/>
      <c r="C423" s="2"/>
      <c r="D423" s="13"/>
      <c r="E423" s="18"/>
      <c r="F423" s="18"/>
      <c r="G423" s="14"/>
      <c r="H423" s="15"/>
      <c r="I423" s="25">
        <f t="shared" si="24"/>
        <v>0</v>
      </c>
    </row>
    <row r="424" spans="1:9">
      <c r="A424" s="2"/>
      <c r="B424" s="2"/>
      <c r="C424" s="2"/>
      <c r="D424" s="13"/>
      <c r="E424" s="18"/>
      <c r="F424" s="18"/>
      <c r="G424" s="14"/>
      <c r="H424" s="15"/>
      <c r="I424" s="25">
        <f t="shared" si="24"/>
        <v>0</v>
      </c>
    </row>
    <row r="425" spans="1:9">
      <c r="A425" s="2"/>
      <c r="B425" s="2"/>
      <c r="C425" s="2"/>
      <c r="D425" s="16" t="s">
        <v>74</v>
      </c>
      <c r="E425" s="12"/>
      <c r="F425" s="12"/>
      <c r="G425" s="17" t="s">
        <v>75</v>
      </c>
      <c r="H425" s="12" t="s">
        <v>76</v>
      </c>
      <c r="I425" s="31">
        <f>SUM(I421:I424)</f>
        <v>1</v>
      </c>
    </row>
    <row r="428" spans="1:9">
      <c r="A428" s="6" t="s">
        <v>140</v>
      </c>
      <c r="B428" s="19" t="s">
        <v>141</v>
      </c>
      <c r="C428" s="19"/>
      <c r="D428" s="19"/>
      <c r="E428" s="19"/>
      <c r="F428" s="19"/>
      <c r="G428" s="19"/>
      <c r="H428" s="19"/>
      <c r="I428" s="19"/>
    </row>
    <row r="431" spans="1:9">
      <c r="A431" s="7" t="s">
        <v>142</v>
      </c>
      <c r="B431" s="19" t="s">
        <v>143</v>
      </c>
      <c r="C431" s="19"/>
      <c r="D431" s="19"/>
      <c r="E431" s="19"/>
      <c r="F431" s="19"/>
      <c r="G431" s="19"/>
      <c r="H431" s="19"/>
      <c r="I431" s="19"/>
    </row>
    <row r="434" spans="1:9">
      <c r="A434" s="8" t="s">
        <v>316</v>
      </c>
      <c r="B434" s="19" t="s">
        <v>442</v>
      </c>
      <c r="C434" s="19"/>
      <c r="D434" s="19"/>
      <c r="E434" s="19"/>
      <c r="F434" s="19"/>
      <c r="G434" s="19"/>
      <c r="H434" s="19"/>
      <c r="I434" s="19"/>
    </row>
    <row r="435" spans="1:9">
      <c r="A435" s="2"/>
      <c r="B435" s="9" t="s">
        <v>70</v>
      </c>
      <c r="C435" s="9"/>
      <c r="D435" s="21" t="s">
        <v>73</v>
      </c>
      <c r="E435" s="22"/>
      <c r="F435" s="22"/>
      <c r="G435" s="23" t="s">
        <v>71</v>
      </c>
      <c r="H435" s="24"/>
      <c r="I435" s="22" t="s">
        <v>72</v>
      </c>
    </row>
    <row r="436" spans="1:9">
      <c r="A436" s="2"/>
      <c r="B436" s="2"/>
      <c r="C436" s="2"/>
      <c r="D436" s="13"/>
      <c r="E436" s="18"/>
      <c r="F436" s="18"/>
      <c r="G436" s="14"/>
      <c r="H436" s="15"/>
      <c r="I436" s="25">
        <f>ROUND(PRODUCT(ROUND(PRODUCT(D436,E436,F436), 0),G436,H436), 0)</f>
        <v>0</v>
      </c>
    </row>
    <row r="437" spans="1:9">
      <c r="A437" s="2"/>
      <c r="C437" s="2" t="s">
        <v>343</v>
      </c>
      <c r="D437" s="13">
        <v>1</v>
      </c>
      <c r="E437" s="18"/>
      <c r="F437" s="18"/>
      <c r="G437" s="14"/>
      <c r="H437" s="15"/>
      <c r="I437" s="25">
        <f t="shared" ref="I437:I439" si="25">ROUND(PRODUCT(ROUND(PRODUCT(D437,E437,F437), 0),G437,H437), 0)</f>
        <v>1</v>
      </c>
    </row>
    <row r="438" spans="1:9">
      <c r="A438" s="2"/>
      <c r="B438" s="2"/>
      <c r="C438" s="2"/>
      <c r="D438" s="13"/>
      <c r="E438" s="18"/>
      <c r="F438" s="18"/>
      <c r="G438" s="14"/>
      <c r="H438" s="15"/>
      <c r="I438" s="25">
        <f t="shared" si="25"/>
        <v>0</v>
      </c>
    </row>
    <row r="439" spans="1:9">
      <c r="A439" s="2"/>
      <c r="B439" s="2"/>
      <c r="C439" s="2"/>
      <c r="D439" s="13"/>
      <c r="E439" s="18"/>
      <c r="F439" s="18"/>
      <c r="G439" s="14"/>
      <c r="H439" s="15"/>
      <c r="I439" s="25">
        <f t="shared" si="25"/>
        <v>0</v>
      </c>
    </row>
    <row r="440" spans="1:9">
      <c r="A440" s="2"/>
      <c r="B440" s="2"/>
      <c r="C440" s="2"/>
      <c r="D440" s="16" t="s">
        <v>74</v>
      </c>
      <c r="E440" s="12"/>
      <c r="F440" s="12"/>
      <c r="G440" s="17" t="s">
        <v>75</v>
      </c>
      <c r="H440" s="12" t="s">
        <v>76</v>
      </c>
      <c r="I440" s="31">
        <f>SUM(I436:I439)</f>
        <v>1</v>
      </c>
    </row>
    <row r="443" spans="1:9">
      <c r="A443" s="8" t="s">
        <v>444</v>
      </c>
      <c r="B443" s="19" t="s">
        <v>393</v>
      </c>
      <c r="C443" s="19"/>
      <c r="D443" s="19"/>
      <c r="E443" s="19"/>
      <c r="F443" s="19"/>
      <c r="G443" s="19"/>
      <c r="H443" s="19"/>
      <c r="I443" s="19"/>
    </row>
    <row r="444" spans="1:9">
      <c r="A444" s="2"/>
      <c r="B444" s="9" t="s">
        <v>70</v>
      </c>
      <c r="C444" s="9"/>
      <c r="D444" s="21" t="s">
        <v>73</v>
      </c>
      <c r="E444" s="22"/>
      <c r="F444" s="22"/>
      <c r="G444" s="23" t="s">
        <v>71</v>
      </c>
      <c r="H444" s="24"/>
      <c r="I444" s="22" t="s">
        <v>72</v>
      </c>
    </row>
    <row r="445" spans="1:9">
      <c r="A445" s="2"/>
      <c r="B445" s="2"/>
      <c r="C445" s="2"/>
      <c r="D445" s="13"/>
      <c r="E445" s="18"/>
      <c r="F445" s="18"/>
      <c r="G445" s="14"/>
      <c r="H445" s="15"/>
      <c r="I445" s="25">
        <f>ROUND(PRODUCT(ROUND(PRODUCT(D445,E445,F445), 0),G445,H445), 0)</f>
        <v>0</v>
      </c>
    </row>
    <row r="446" spans="1:9">
      <c r="A446" s="2"/>
      <c r="C446" s="2" t="s">
        <v>394</v>
      </c>
      <c r="D446" s="13">
        <v>1</v>
      </c>
      <c r="E446" s="18"/>
      <c r="F446" s="18"/>
      <c r="G446" s="14"/>
      <c r="H446" s="15"/>
      <c r="I446" s="25">
        <f t="shared" ref="I446:I448" si="26">ROUND(PRODUCT(ROUND(PRODUCT(D446,E446,F446), 0),G446,H446), 0)</f>
        <v>1</v>
      </c>
    </row>
    <row r="447" spans="1:9">
      <c r="A447" s="2"/>
      <c r="B447" s="2"/>
      <c r="C447" s="2"/>
      <c r="D447" s="13"/>
      <c r="E447" s="18"/>
      <c r="F447" s="18"/>
      <c r="G447" s="14"/>
      <c r="H447" s="15"/>
      <c r="I447" s="25">
        <f t="shared" si="26"/>
        <v>0</v>
      </c>
    </row>
    <row r="448" spans="1:9">
      <c r="A448" s="2"/>
      <c r="B448" s="2"/>
      <c r="C448" s="2"/>
      <c r="D448" s="13"/>
      <c r="E448" s="18"/>
      <c r="F448" s="18"/>
      <c r="G448" s="14"/>
      <c r="H448" s="15"/>
      <c r="I448" s="25">
        <f t="shared" si="26"/>
        <v>0</v>
      </c>
    </row>
    <row r="449" spans="1:9">
      <c r="A449" s="2"/>
      <c r="B449" s="2"/>
      <c r="C449" s="2"/>
      <c r="D449" s="16" t="s">
        <v>74</v>
      </c>
      <c r="E449" s="12"/>
      <c r="F449" s="12"/>
      <c r="G449" s="17" t="s">
        <v>75</v>
      </c>
      <c r="H449" s="12" t="s">
        <v>76</v>
      </c>
      <c r="I449" s="31">
        <f>SUM(I445:I448)</f>
        <v>1</v>
      </c>
    </row>
    <row r="452" spans="1:9">
      <c r="A452" s="6" t="s">
        <v>144</v>
      </c>
      <c r="B452" s="19" t="s">
        <v>145</v>
      </c>
      <c r="C452" s="19"/>
      <c r="D452" s="19"/>
      <c r="E452" s="19"/>
      <c r="F452" s="19"/>
      <c r="G452" s="19"/>
      <c r="H452" s="19"/>
      <c r="I452" s="19"/>
    </row>
    <row r="455" spans="1:9">
      <c r="A455" s="7" t="s">
        <v>146</v>
      </c>
      <c r="B455" s="19" t="s">
        <v>147</v>
      </c>
      <c r="C455" s="19"/>
      <c r="D455" s="19"/>
      <c r="E455" s="19"/>
      <c r="F455" s="19"/>
      <c r="G455" s="19"/>
      <c r="H455" s="19"/>
      <c r="I455" s="19"/>
    </row>
    <row r="456" spans="1:9">
      <c r="A456" s="2"/>
      <c r="B456" s="9" t="s">
        <v>70</v>
      </c>
      <c r="C456" s="9"/>
      <c r="D456" s="21" t="s">
        <v>73</v>
      </c>
      <c r="E456" s="22"/>
      <c r="F456" s="22"/>
      <c r="G456" s="23" t="s">
        <v>71</v>
      </c>
      <c r="H456" s="24"/>
      <c r="I456" s="22" t="s">
        <v>72</v>
      </c>
    </row>
    <row r="457" spans="1:9">
      <c r="A457" s="2"/>
      <c r="B457" s="2"/>
      <c r="C457" s="2"/>
      <c r="D457" s="13"/>
      <c r="E457" s="18"/>
      <c r="F457" s="18"/>
      <c r="G457" s="14"/>
      <c r="H457" s="15"/>
      <c r="I457" s="25">
        <f>ROUND(PRODUCT(ROUND(PRODUCT(D457,E457,F457), 0),G457,H457), 0)</f>
        <v>0</v>
      </c>
    </row>
    <row r="458" spans="1:9">
      <c r="A458" s="2"/>
      <c r="C458" s="2" t="s">
        <v>430</v>
      </c>
      <c r="D458" s="13">
        <v>1</v>
      </c>
      <c r="E458" s="18"/>
      <c r="F458" s="18"/>
      <c r="G458" s="14"/>
      <c r="H458" s="15"/>
      <c r="I458" s="25">
        <f t="shared" ref="I458:I460" si="27">ROUND(PRODUCT(ROUND(PRODUCT(D458,E458,F458), 0),G458,H458), 0)</f>
        <v>1</v>
      </c>
    </row>
    <row r="459" spans="1:9">
      <c r="A459" s="2"/>
      <c r="B459" s="2"/>
      <c r="C459" s="2" t="s">
        <v>493</v>
      </c>
      <c r="D459" s="13">
        <v>2</v>
      </c>
      <c r="E459" s="18"/>
      <c r="F459" s="18"/>
      <c r="G459" s="14"/>
      <c r="H459" s="15"/>
      <c r="I459" s="25">
        <f t="shared" si="27"/>
        <v>2</v>
      </c>
    </row>
    <row r="460" spans="1:9">
      <c r="A460" s="2"/>
      <c r="B460" s="2"/>
      <c r="C460" s="2"/>
      <c r="D460" s="13"/>
      <c r="E460" s="18"/>
      <c r="F460" s="18"/>
      <c r="G460" s="14"/>
      <c r="H460" s="15"/>
      <c r="I460" s="25">
        <f t="shared" si="27"/>
        <v>0</v>
      </c>
    </row>
    <row r="461" spans="1:9">
      <c r="A461" s="2"/>
      <c r="B461" s="2"/>
      <c r="C461" s="2"/>
      <c r="D461" s="16" t="s">
        <v>74</v>
      </c>
      <c r="E461" s="12"/>
      <c r="F461" s="12"/>
      <c r="G461" s="17" t="s">
        <v>75</v>
      </c>
      <c r="H461" s="12" t="s">
        <v>76</v>
      </c>
      <c r="I461" s="31">
        <f>SUM(I457:I460)</f>
        <v>3</v>
      </c>
    </row>
    <row r="464" spans="1:9">
      <c r="A464" s="6" t="s">
        <v>148</v>
      </c>
      <c r="B464" s="19" t="s">
        <v>149</v>
      </c>
      <c r="C464" s="19"/>
      <c r="D464" s="19"/>
      <c r="E464" s="19"/>
      <c r="F464" s="19"/>
      <c r="G464" s="19"/>
      <c r="H464" s="19"/>
      <c r="I464" s="19"/>
    </row>
    <row r="467" spans="1:9">
      <c r="A467" s="6" t="s">
        <v>150</v>
      </c>
      <c r="B467" s="19" t="s">
        <v>151</v>
      </c>
      <c r="C467" s="19"/>
      <c r="D467" s="19"/>
      <c r="E467" s="19"/>
      <c r="F467" s="19"/>
      <c r="G467" s="19"/>
      <c r="H467" s="19"/>
      <c r="I467" s="19"/>
    </row>
    <row r="470" spans="1:9">
      <c r="A470" s="6" t="s">
        <v>152</v>
      </c>
      <c r="B470" s="19" t="s">
        <v>153</v>
      </c>
      <c r="C470" s="19"/>
      <c r="D470" s="19"/>
      <c r="E470" s="19"/>
      <c r="F470" s="19"/>
      <c r="G470" s="19"/>
      <c r="H470" s="19"/>
      <c r="I470" s="19"/>
    </row>
    <row r="473" spans="1:9">
      <c r="A473" s="7" t="s">
        <v>154</v>
      </c>
      <c r="B473" s="19" t="s">
        <v>155</v>
      </c>
      <c r="C473" s="19"/>
      <c r="D473" s="19"/>
      <c r="E473" s="19"/>
      <c r="F473" s="19"/>
      <c r="G473" s="19"/>
      <c r="H473" s="19"/>
      <c r="I473" s="19"/>
    </row>
    <row r="474" spans="1:9">
      <c r="D474" s="16" t="s">
        <v>74</v>
      </c>
      <c r="E474" s="12"/>
      <c r="F474" s="12"/>
      <c r="G474" s="17"/>
      <c r="H474" s="12" t="s">
        <v>297</v>
      </c>
      <c r="I474" s="10"/>
    </row>
    <row r="477" spans="1:9">
      <c r="A477" s="6" t="s">
        <v>156</v>
      </c>
      <c r="B477" s="19" t="s">
        <v>157</v>
      </c>
      <c r="C477" s="19"/>
      <c r="D477" s="19"/>
      <c r="E477" s="19"/>
      <c r="F477" s="19"/>
      <c r="G477" s="19"/>
      <c r="H477" s="19"/>
      <c r="I477" s="19"/>
    </row>
    <row r="480" spans="1:9">
      <c r="A480" s="7" t="s">
        <v>158</v>
      </c>
      <c r="B480" s="19" t="s">
        <v>159</v>
      </c>
      <c r="C480" s="19"/>
      <c r="D480" s="19"/>
      <c r="E480" s="19"/>
      <c r="F480" s="19"/>
      <c r="G480" s="19"/>
      <c r="H480" s="19"/>
      <c r="I480" s="19"/>
    </row>
    <row r="483" spans="1:9">
      <c r="A483" s="7" t="s">
        <v>317</v>
      </c>
      <c r="B483" s="19" t="s">
        <v>318</v>
      </c>
      <c r="C483" s="19"/>
      <c r="D483" s="19"/>
      <c r="E483" s="19"/>
      <c r="F483" s="19"/>
      <c r="G483" s="19"/>
      <c r="H483" s="19"/>
      <c r="I483" s="19"/>
    </row>
    <row r="484" spans="1:9">
      <c r="D484" s="16" t="s">
        <v>74</v>
      </c>
      <c r="E484" s="12"/>
      <c r="F484" s="12"/>
      <c r="G484" s="17"/>
      <c r="H484" s="12" t="s">
        <v>297</v>
      </c>
      <c r="I484" s="10"/>
    </row>
    <row r="487" spans="1:9">
      <c r="A487" s="6" t="s">
        <v>160</v>
      </c>
      <c r="B487" s="19" t="s">
        <v>161</v>
      </c>
      <c r="C487" s="19"/>
      <c r="D487" s="19"/>
      <c r="E487" s="19"/>
      <c r="F487" s="19"/>
      <c r="G487" s="19"/>
      <c r="H487" s="19"/>
      <c r="I487" s="19"/>
    </row>
    <row r="490" spans="1:9">
      <c r="A490" s="7" t="s">
        <v>162</v>
      </c>
      <c r="B490" s="19" t="s">
        <v>163</v>
      </c>
      <c r="C490" s="19"/>
      <c r="D490" s="19"/>
      <c r="E490" s="19"/>
      <c r="F490" s="19"/>
      <c r="G490" s="19"/>
      <c r="H490" s="19"/>
      <c r="I490" s="19"/>
    </row>
    <row r="491" spans="1:9">
      <c r="D491" s="16" t="s">
        <v>74</v>
      </c>
      <c r="E491" s="12"/>
      <c r="F491" s="12"/>
      <c r="G491" s="17"/>
      <c r="H491" s="12" t="s">
        <v>297</v>
      </c>
      <c r="I491" s="10"/>
    </row>
    <row r="494" spans="1:9">
      <c r="A494" s="7" t="s">
        <v>164</v>
      </c>
      <c r="B494" s="19" t="s">
        <v>165</v>
      </c>
      <c r="C494" s="19"/>
      <c r="D494" s="19"/>
      <c r="E494" s="19"/>
      <c r="F494" s="19"/>
      <c r="G494" s="19"/>
      <c r="H494" s="19"/>
      <c r="I494" s="19"/>
    </row>
    <row r="495" spans="1:9">
      <c r="D495" s="16" t="s">
        <v>74</v>
      </c>
      <c r="E495" s="12"/>
      <c r="F495" s="12"/>
      <c r="G495" s="17"/>
      <c r="H495" s="12" t="s">
        <v>297</v>
      </c>
      <c r="I495" s="10"/>
    </row>
    <row r="498" spans="1:9">
      <c r="A498" s="6" t="s">
        <v>166</v>
      </c>
      <c r="B498" s="19" t="s">
        <v>167</v>
      </c>
      <c r="C498" s="19"/>
      <c r="D498" s="19"/>
      <c r="E498" s="19"/>
      <c r="F498" s="19"/>
      <c r="G498" s="19"/>
      <c r="H498" s="19"/>
      <c r="I498" s="19"/>
    </row>
    <row r="501" spans="1:9">
      <c r="A501" s="7" t="s">
        <v>168</v>
      </c>
      <c r="B501" s="19" t="s">
        <v>169</v>
      </c>
      <c r="C501" s="19"/>
      <c r="D501" s="19"/>
      <c r="E501" s="19"/>
      <c r="F501" s="19"/>
      <c r="G501" s="19"/>
      <c r="H501" s="19"/>
      <c r="I501" s="19"/>
    </row>
    <row r="504" spans="1:9">
      <c r="A504" s="8" t="s">
        <v>319</v>
      </c>
      <c r="B504" s="19" t="s">
        <v>320</v>
      </c>
      <c r="C504" s="19"/>
      <c r="D504" s="19"/>
      <c r="E504" s="19"/>
      <c r="F504" s="19"/>
      <c r="G504" s="19"/>
      <c r="H504" s="19"/>
      <c r="I504" s="19"/>
    </row>
    <row r="505" spans="1:9">
      <c r="A505" s="2"/>
      <c r="B505" s="9" t="s">
        <v>70</v>
      </c>
      <c r="C505" s="9"/>
      <c r="D505" s="21" t="s">
        <v>73</v>
      </c>
      <c r="E505" s="22"/>
      <c r="F505" s="22"/>
      <c r="G505" s="23" t="s">
        <v>71</v>
      </c>
      <c r="H505" s="24"/>
      <c r="I505" s="22" t="s">
        <v>72</v>
      </c>
    </row>
    <row r="506" spans="1:9">
      <c r="A506" s="2"/>
      <c r="B506" s="2"/>
      <c r="C506" s="2"/>
      <c r="D506" s="13"/>
      <c r="E506" s="18"/>
      <c r="F506" s="18"/>
      <c r="G506" s="14"/>
      <c r="H506" s="15"/>
      <c r="I506" s="25">
        <f>ROUND(PRODUCT(ROUND(PRODUCT(D506,E506,F506), 0),G506,H506), 0)</f>
        <v>0</v>
      </c>
    </row>
    <row r="507" spans="1:9">
      <c r="A507" s="2"/>
      <c r="B507" s="1" t="s">
        <v>295</v>
      </c>
      <c r="C507" s="2"/>
      <c r="D507" s="13">
        <v>2</v>
      </c>
      <c r="E507" s="18"/>
      <c r="F507" s="18"/>
      <c r="G507" s="14"/>
      <c r="H507" s="15"/>
      <c r="I507" s="25">
        <f t="shared" ref="I507:I510" si="28">ROUND(PRODUCT(ROUND(PRODUCT(D507,E507,F507), 0),G507,H507), 0)</f>
        <v>2</v>
      </c>
    </row>
    <row r="508" spans="1:9">
      <c r="A508" s="2"/>
      <c r="B508" s="2" t="s">
        <v>390</v>
      </c>
      <c r="C508" s="2" t="s">
        <v>430</v>
      </c>
      <c r="D508" s="13">
        <v>1</v>
      </c>
      <c r="E508" s="18"/>
      <c r="F508" s="18"/>
      <c r="G508" s="14"/>
      <c r="H508" s="15"/>
      <c r="I508" s="25">
        <f t="shared" si="28"/>
        <v>1</v>
      </c>
    </row>
    <row r="509" spans="1:9">
      <c r="A509" s="2"/>
      <c r="B509" s="2"/>
      <c r="C509" s="2"/>
      <c r="D509" s="13"/>
      <c r="E509" s="18"/>
      <c r="F509" s="18"/>
      <c r="G509" s="14"/>
      <c r="H509" s="15"/>
      <c r="I509" s="25">
        <f t="shared" si="28"/>
        <v>0</v>
      </c>
    </row>
    <row r="510" spans="1:9">
      <c r="A510" s="2"/>
      <c r="B510" s="2"/>
      <c r="C510" s="2"/>
      <c r="D510" s="13"/>
      <c r="E510" s="18"/>
      <c r="F510" s="18"/>
      <c r="G510" s="14"/>
      <c r="H510" s="15"/>
      <c r="I510" s="25">
        <f t="shared" si="28"/>
        <v>0</v>
      </c>
    </row>
    <row r="511" spans="1:9">
      <c r="A511" s="2"/>
      <c r="B511" s="2"/>
      <c r="C511" s="2"/>
      <c r="D511" s="16" t="s">
        <v>74</v>
      </c>
      <c r="E511" s="12"/>
      <c r="F511" s="12"/>
      <c r="G511" s="17" t="s">
        <v>75</v>
      </c>
      <c r="H511" s="12" t="s">
        <v>76</v>
      </c>
      <c r="I511" s="31">
        <f>SUM(I506:I510)</f>
        <v>3</v>
      </c>
    </row>
    <row r="514" spans="1:9">
      <c r="A514" s="6" t="s">
        <v>170</v>
      </c>
      <c r="B514" s="19" t="s">
        <v>171</v>
      </c>
      <c r="C514" s="19"/>
      <c r="D514" s="19"/>
      <c r="E514" s="19"/>
      <c r="F514" s="19"/>
      <c r="G514" s="19"/>
      <c r="H514" s="19"/>
      <c r="I514" s="19"/>
    </row>
    <row r="517" spans="1:9">
      <c r="A517" s="7" t="s">
        <v>172</v>
      </c>
      <c r="B517" s="19" t="s">
        <v>173</v>
      </c>
      <c r="C517" s="19"/>
      <c r="D517" s="19"/>
      <c r="E517" s="19"/>
      <c r="F517" s="19"/>
      <c r="G517" s="19"/>
      <c r="H517" s="19"/>
      <c r="I517" s="19"/>
    </row>
    <row r="518" spans="1:9">
      <c r="A518" s="2"/>
      <c r="B518" s="9" t="s">
        <v>70</v>
      </c>
      <c r="C518" s="9"/>
      <c r="D518" s="21" t="s">
        <v>73</v>
      </c>
      <c r="E518" s="22"/>
      <c r="F518" s="22"/>
      <c r="G518" s="23" t="s">
        <v>71</v>
      </c>
      <c r="H518" s="24"/>
      <c r="I518" s="22" t="s">
        <v>72</v>
      </c>
    </row>
    <row r="519" spans="1:9">
      <c r="A519" s="2"/>
      <c r="B519" s="2"/>
      <c r="C519" s="2"/>
      <c r="D519" s="13"/>
      <c r="E519" s="18"/>
      <c r="F519" s="18"/>
      <c r="G519" s="14"/>
      <c r="H519" s="15"/>
      <c r="I519" s="25">
        <f>ROUND(PRODUCT(ROUND(PRODUCT(D519,E519,F519), 0),G519,H519), 0)</f>
        <v>0</v>
      </c>
    </row>
    <row r="520" spans="1:9">
      <c r="A520" s="2"/>
      <c r="B520" s="2"/>
      <c r="C520" s="2" t="s">
        <v>346</v>
      </c>
      <c r="D520" s="13">
        <v>2</v>
      </c>
      <c r="E520" s="18"/>
      <c r="F520" s="18"/>
      <c r="G520" s="14"/>
      <c r="H520" s="15"/>
      <c r="I520" s="25">
        <f t="shared" ref="I520:I524" si="29">ROUND(PRODUCT(ROUND(PRODUCT(D520,E520,F520), 0),G520,H520), 0)</f>
        <v>2</v>
      </c>
    </row>
    <row r="521" spans="1:9">
      <c r="A521" s="2"/>
      <c r="B521" s="2"/>
      <c r="C521" s="2"/>
      <c r="D521" s="13"/>
      <c r="E521" s="18"/>
      <c r="F521" s="18"/>
      <c r="G521" s="14"/>
      <c r="H521" s="15"/>
      <c r="I521" s="25">
        <f t="shared" si="29"/>
        <v>0</v>
      </c>
    </row>
    <row r="522" spans="1:9">
      <c r="A522" s="2"/>
      <c r="B522" s="2"/>
      <c r="C522" s="2"/>
      <c r="D522" s="13"/>
      <c r="E522" s="18"/>
      <c r="F522" s="18"/>
      <c r="G522" s="14"/>
      <c r="H522" s="15"/>
      <c r="I522" s="25">
        <f t="shared" si="29"/>
        <v>0</v>
      </c>
    </row>
    <row r="523" spans="1:9">
      <c r="A523" s="2"/>
      <c r="B523" s="2"/>
      <c r="C523" s="2"/>
      <c r="D523" s="13"/>
      <c r="E523" s="18"/>
      <c r="F523" s="18"/>
      <c r="G523" s="14"/>
      <c r="H523" s="15"/>
      <c r="I523" s="25">
        <f t="shared" si="29"/>
        <v>0</v>
      </c>
    </row>
    <row r="524" spans="1:9">
      <c r="A524" s="2"/>
      <c r="B524" s="2"/>
      <c r="C524" s="2"/>
      <c r="D524" s="13"/>
      <c r="E524" s="18"/>
      <c r="F524" s="18"/>
      <c r="G524" s="14"/>
      <c r="H524" s="15"/>
      <c r="I524" s="25">
        <f t="shared" si="29"/>
        <v>0</v>
      </c>
    </row>
    <row r="525" spans="1:9">
      <c r="A525" s="2"/>
      <c r="B525" s="2"/>
      <c r="C525" s="2"/>
      <c r="D525" s="16" t="s">
        <v>74</v>
      </c>
      <c r="E525" s="12"/>
      <c r="F525" s="12"/>
      <c r="G525" s="17" t="s">
        <v>75</v>
      </c>
      <c r="H525" s="12" t="s">
        <v>76</v>
      </c>
      <c r="I525" s="31">
        <f>SUM(I519:I524)</f>
        <v>2</v>
      </c>
    </row>
    <row r="528" spans="1:9">
      <c r="A528" s="7" t="s">
        <v>174</v>
      </c>
      <c r="B528" s="19" t="s">
        <v>175</v>
      </c>
      <c r="C528" s="19"/>
      <c r="D528" s="19"/>
      <c r="E528" s="19"/>
      <c r="F528" s="19"/>
      <c r="G528" s="19"/>
      <c r="H528" s="19"/>
      <c r="I528" s="19"/>
    </row>
    <row r="529" spans="1:9">
      <c r="A529" s="2"/>
      <c r="B529" s="9" t="s">
        <v>70</v>
      </c>
      <c r="C529" s="9"/>
      <c r="D529" s="21" t="s">
        <v>73</v>
      </c>
      <c r="E529" s="22"/>
      <c r="F529" s="22"/>
      <c r="G529" s="23" t="s">
        <v>71</v>
      </c>
      <c r="H529" s="24"/>
      <c r="I529" s="22" t="s">
        <v>72</v>
      </c>
    </row>
    <row r="530" spans="1:9">
      <c r="A530" s="2"/>
      <c r="B530" s="2"/>
      <c r="C530" s="2"/>
      <c r="D530" s="13"/>
      <c r="E530" s="18"/>
      <c r="F530" s="18"/>
      <c r="G530" s="14"/>
      <c r="H530" s="15"/>
      <c r="I530" s="25">
        <f>ROUND(PRODUCT(ROUND(PRODUCT(D530,E530,F530), 0),G530,H530), 0)</f>
        <v>0</v>
      </c>
    </row>
    <row r="531" spans="1:9">
      <c r="A531" s="2"/>
      <c r="C531" s="2" t="s">
        <v>345</v>
      </c>
      <c r="D531" s="13">
        <v>1</v>
      </c>
      <c r="E531" s="18"/>
      <c r="F531" s="18"/>
      <c r="G531" s="14"/>
      <c r="H531" s="15"/>
      <c r="I531" s="25">
        <f t="shared" ref="I531:I533" si="30">ROUND(PRODUCT(ROUND(PRODUCT(D531,E531,F531), 0),G531,H531), 0)</f>
        <v>1</v>
      </c>
    </row>
    <row r="532" spans="1:9">
      <c r="A532" s="2"/>
      <c r="B532" s="2"/>
      <c r="C532" s="2"/>
      <c r="D532" s="13"/>
      <c r="E532" s="18"/>
      <c r="F532" s="18"/>
      <c r="G532" s="14"/>
      <c r="H532" s="15"/>
      <c r="I532" s="25">
        <f t="shared" si="30"/>
        <v>0</v>
      </c>
    </row>
    <row r="533" spans="1:9">
      <c r="A533" s="2"/>
      <c r="B533" s="2"/>
      <c r="C533" s="2"/>
      <c r="D533" s="13"/>
      <c r="E533" s="18"/>
      <c r="F533" s="18"/>
      <c r="G533" s="14"/>
      <c r="H533" s="15"/>
      <c r="I533" s="25">
        <f t="shared" si="30"/>
        <v>0</v>
      </c>
    </row>
    <row r="534" spans="1:9">
      <c r="A534" s="2"/>
      <c r="B534" s="2"/>
      <c r="C534" s="2"/>
      <c r="D534" s="16" t="s">
        <v>74</v>
      </c>
      <c r="E534" s="12"/>
      <c r="F534" s="12"/>
      <c r="G534" s="17" t="s">
        <v>75</v>
      </c>
      <c r="H534" s="12" t="s">
        <v>76</v>
      </c>
      <c r="I534" s="31">
        <f>SUM(I530:I533)</f>
        <v>1</v>
      </c>
    </row>
    <row r="537" spans="1:9">
      <c r="A537" s="7" t="s">
        <v>176</v>
      </c>
      <c r="B537" s="19" t="s">
        <v>443</v>
      </c>
      <c r="C537" s="19"/>
      <c r="D537" s="19"/>
      <c r="E537" s="19"/>
      <c r="F537" s="19"/>
      <c r="G537" s="19"/>
      <c r="H537" s="19"/>
      <c r="I537" s="19"/>
    </row>
    <row r="538" spans="1:9">
      <c r="A538" s="2"/>
      <c r="B538" s="9" t="s">
        <v>70</v>
      </c>
      <c r="C538" s="9"/>
      <c r="D538" s="21" t="s">
        <v>73</v>
      </c>
      <c r="E538" s="22"/>
      <c r="F538" s="22"/>
      <c r="G538" s="23" t="s">
        <v>71</v>
      </c>
      <c r="H538" s="24"/>
      <c r="I538" s="22" t="s">
        <v>72</v>
      </c>
    </row>
    <row r="539" spans="1:9">
      <c r="A539" s="2"/>
      <c r="B539" s="2"/>
      <c r="C539" s="2"/>
      <c r="D539" s="13"/>
      <c r="E539" s="18"/>
      <c r="F539" s="18"/>
      <c r="G539" s="14"/>
      <c r="H539" s="15"/>
      <c r="I539" s="25">
        <f>ROUND(PRODUCT(ROUND(PRODUCT(D539,E539,F539), 0),G539,H539), 0)</f>
        <v>0</v>
      </c>
    </row>
    <row r="540" spans="1:9">
      <c r="A540" s="2"/>
      <c r="C540" s="2" t="s">
        <v>344</v>
      </c>
      <c r="D540" s="13">
        <v>1</v>
      </c>
      <c r="E540" s="18"/>
      <c r="F540" s="18"/>
      <c r="G540" s="14"/>
      <c r="H540" s="15"/>
      <c r="I540" s="25">
        <f t="shared" ref="I540:I543" si="31">ROUND(PRODUCT(ROUND(PRODUCT(D540,E540,F540), 0),G540,H540), 0)</f>
        <v>1</v>
      </c>
    </row>
    <row r="541" spans="1:9">
      <c r="A541" s="2"/>
      <c r="B541" s="2"/>
      <c r="C541" s="2" t="s">
        <v>392</v>
      </c>
      <c r="D541" s="13">
        <v>1</v>
      </c>
      <c r="E541" s="18"/>
      <c r="F541" s="18"/>
      <c r="G541" s="14"/>
      <c r="H541" s="15"/>
      <c r="I541" s="25">
        <f t="shared" si="31"/>
        <v>1</v>
      </c>
    </row>
    <row r="542" spans="1:9">
      <c r="A542" s="2"/>
      <c r="B542" s="2"/>
      <c r="C542" s="2"/>
      <c r="D542" s="13"/>
      <c r="E542" s="18"/>
      <c r="F542" s="18"/>
      <c r="G542" s="14"/>
      <c r="H542" s="15"/>
      <c r="I542" s="25">
        <f t="shared" si="31"/>
        <v>0</v>
      </c>
    </row>
    <row r="543" spans="1:9">
      <c r="A543" s="2"/>
      <c r="B543" s="2"/>
      <c r="C543" s="2"/>
      <c r="D543" s="13"/>
      <c r="E543" s="18"/>
      <c r="F543" s="18"/>
      <c r="G543" s="14"/>
      <c r="H543" s="15"/>
      <c r="I543" s="25">
        <f t="shared" si="31"/>
        <v>0</v>
      </c>
    </row>
    <row r="544" spans="1:9">
      <c r="A544" s="2"/>
      <c r="B544" s="2"/>
      <c r="C544" s="2"/>
      <c r="D544" s="16" t="s">
        <v>74</v>
      </c>
      <c r="E544" s="12"/>
      <c r="F544" s="12"/>
      <c r="G544" s="17" t="s">
        <v>75</v>
      </c>
      <c r="H544" s="12" t="s">
        <v>76</v>
      </c>
      <c r="I544" s="31">
        <f>SUM(I539:I543)</f>
        <v>2</v>
      </c>
    </row>
    <row r="547" spans="1:9">
      <c r="A547" s="6" t="s">
        <v>177</v>
      </c>
      <c r="B547" s="19" t="s">
        <v>178</v>
      </c>
      <c r="C547" s="19"/>
      <c r="D547" s="19"/>
      <c r="E547" s="19"/>
      <c r="F547" s="19"/>
      <c r="G547" s="19"/>
      <c r="H547" s="19"/>
      <c r="I547" s="19"/>
    </row>
    <row r="550" spans="1:9">
      <c r="A550" s="7" t="s">
        <v>179</v>
      </c>
      <c r="B550" s="19" t="s">
        <v>391</v>
      </c>
      <c r="C550" s="19"/>
      <c r="D550" s="19"/>
      <c r="E550" s="19"/>
      <c r="F550" s="19"/>
      <c r="G550" s="19"/>
      <c r="H550" s="19"/>
      <c r="I550" s="19"/>
    </row>
    <row r="551" spans="1:9">
      <c r="A551" s="2"/>
      <c r="B551" s="9" t="s">
        <v>70</v>
      </c>
      <c r="C551" s="9"/>
      <c r="D551" s="21" t="s">
        <v>73</v>
      </c>
      <c r="E551" s="22"/>
      <c r="F551" s="22"/>
      <c r="G551" s="23" t="s">
        <v>71</v>
      </c>
      <c r="H551" s="24"/>
      <c r="I551" s="22" t="s">
        <v>72</v>
      </c>
    </row>
    <row r="552" spans="1:9">
      <c r="A552" s="2"/>
      <c r="B552" s="2"/>
      <c r="C552" s="2"/>
      <c r="D552" s="13"/>
      <c r="E552" s="18"/>
      <c r="F552" s="18"/>
      <c r="G552" s="14"/>
      <c r="H552" s="15"/>
      <c r="I552" s="25">
        <f>ROUND(PRODUCT(ROUND(PRODUCT(D552,E552,F552), 0),G552,H552), 0)</f>
        <v>0</v>
      </c>
    </row>
    <row r="553" spans="1:9">
      <c r="A553" s="2"/>
      <c r="C553" s="2" t="s">
        <v>347</v>
      </c>
      <c r="D553" s="13">
        <v>1</v>
      </c>
      <c r="E553" s="18"/>
      <c r="F553" s="18"/>
      <c r="G553" s="14"/>
      <c r="H553" s="15"/>
      <c r="I553" s="25">
        <f t="shared" ref="I553:I555" si="32">ROUND(PRODUCT(ROUND(PRODUCT(D553,E553,F553), 0),G553,H553), 0)</f>
        <v>1</v>
      </c>
    </row>
    <row r="554" spans="1:9">
      <c r="A554" s="2"/>
      <c r="B554" s="2"/>
      <c r="C554" s="2"/>
      <c r="D554" s="13"/>
      <c r="E554" s="18"/>
      <c r="F554" s="18"/>
      <c r="G554" s="14"/>
      <c r="H554" s="15"/>
      <c r="I554" s="25">
        <f t="shared" si="32"/>
        <v>0</v>
      </c>
    </row>
    <row r="555" spans="1:9">
      <c r="A555" s="2"/>
      <c r="B555" s="2"/>
      <c r="C555" s="2"/>
      <c r="D555" s="13"/>
      <c r="E555" s="18"/>
      <c r="F555" s="18"/>
      <c r="G555" s="14"/>
      <c r="H555" s="15"/>
      <c r="I555" s="25">
        <f t="shared" si="32"/>
        <v>0</v>
      </c>
    </row>
    <row r="556" spans="1:9">
      <c r="A556" s="2"/>
      <c r="B556" s="2"/>
      <c r="C556" s="2"/>
      <c r="D556" s="16" t="s">
        <v>74</v>
      </c>
      <c r="E556" s="12"/>
      <c r="F556" s="12"/>
      <c r="G556" s="17" t="s">
        <v>75</v>
      </c>
      <c r="H556" s="12" t="s">
        <v>76</v>
      </c>
      <c r="I556" s="31">
        <f>SUM(I552:I555)</f>
        <v>1</v>
      </c>
    </row>
    <row r="559" spans="1:9">
      <c r="A559" s="7" t="s">
        <v>180</v>
      </c>
      <c r="B559" s="19" t="s">
        <v>181</v>
      </c>
      <c r="C559" s="19"/>
      <c r="D559" s="19"/>
      <c r="E559" s="19"/>
      <c r="F559" s="19"/>
      <c r="G559" s="19"/>
      <c r="H559" s="19"/>
      <c r="I559" s="19"/>
    </row>
    <row r="562" spans="1:9">
      <c r="A562" s="8" t="s">
        <v>378</v>
      </c>
      <c r="B562" s="19" t="s">
        <v>321</v>
      </c>
      <c r="C562" s="19"/>
      <c r="D562" s="19"/>
      <c r="E562" s="19"/>
      <c r="F562" s="19"/>
      <c r="G562" s="19"/>
      <c r="H562" s="19"/>
      <c r="I562" s="19"/>
    </row>
    <row r="563" spans="1:9">
      <c r="A563" s="2"/>
      <c r="B563" s="9" t="s">
        <v>70</v>
      </c>
      <c r="C563" s="9"/>
      <c r="D563" s="21" t="s">
        <v>73</v>
      </c>
      <c r="E563" s="22"/>
      <c r="F563" s="22"/>
      <c r="G563" s="23" t="s">
        <v>71</v>
      </c>
      <c r="H563" s="24"/>
      <c r="I563" s="22" t="s">
        <v>72</v>
      </c>
    </row>
    <row r="564" spans="1:9">
      <c r="A564" s="2"/>
      <c r="B564" s="2"/>
      <c r="C564" s="2"/>
      <c r="D564" s="13"/>
      <c r="E564" s="18"/>
      <c r="F564" s="18"/>
      <c r="G564" s="14"/>
      <c r="H564" s="15"/>
      <c r="I564" s="25">
        <f>ROUND(PRODUCT(ROUND(PRODUCT(D564,E564,F564), 0),G564,H564), 0)</f>
        <v>0</v>
      </c>
    </row>
    <row r="565" spans="1:9">
      <c r="A565" s="2"/>
      <c r="C565" s="2" t="s">
        <v>296</v>
      </c>
      <c r="D565" s="13">
        <v>4</v>
      </c>
      <c r="E565" s="18"/>
      <c r="F565" s="18"/>
      <c r="G565" s="14"/>
      <c r="H565" s="15"/>
      <c r="I565" s="25">
        <f t="shared" ref="I565:I567" si="33">ROUND(PRODUCT(ROUND(PRODUCT(D565,E565,F565), 0),G565,H565), 0)</f>
        <v>4</v>
      </c>
    </row>
    <row r="566" spans="1:9">
      <c r="A566" s="2"/>
      <c r="B566" s="2"/>
      <c r="C566" s="2"/>
      <c r="D566" s="13"/>
      <c r="E566" s="18"/>
      <c r="F566" s="18"/>
      <c r="G566" s="14"/>
      <c r="H566" s="15"/>
      <c r="I566" s="25">
        <f t="shared" si="33"/>
        <v>0</v>
      </c>
    </row>
    <row r="567" spans="1:9">
      <c r="A567" s="2"/>
      <c r="B567" s="2"/>
      <c r="C567" s="2"/>
      <c r="D567" s="13"/>
      <c r="E567" s="18"/>
      <c r="F567" s="18"/>
      <c r="G567" s="14"/>
      <c r="H567" s="15"/>
      <c r="I567" s="25">
        <f t="shared" si="33"/>
        <v>0</v>
      </c>
    </row>
    <row r="568" spans="1:9">
      <c r="A568" s="2"/>
      <c r="B568" s="2"/>
      <c r="C568" s="2"/>
      <c r="D568" s="16" t="s">
        <v>74</v>
      </c>
      <c r="E568" s="12"/>
      <c r="F568" s="12"/>
      <c r="G568" s="17" t="s">
        <v>75</v>
      </c>
      <c r="H568" s="12" t="s">
        <v>76</v>
      </c>
      <c r="I568" s="31">
        <f>SUM(I564:I567)</f>
        <v>4</v>
      </c>
    </row>
    <row r="571" spans="1:9">
      <c r="A571" s="6" t="s">
        <v>182</v>
      </c>
      <c r="B571" s="19" t="s">
        <v>183</v>
      </c>
      <c r="C571" s="19"/>
      <c r="D571" s="19"/>
      <c r="E571" s="19"/>
      <c r="F571" s="19"/>
      <c r="G571" s="19"/>
      <c r="H571" s="19"/>
      <c r="I571" s="19"/>
    </row>
    <row r="574" spans="1:9">
      <c r="A574" s="7" t="s">
        <v>184</v>
      </c>
      <c r="B574" s="19" t="s">
        <v>185</v>
      </c>
      <c r="C574" s="19"/>
      <c r="D574" s="19"/>
      <c r="E574" s="19"/>
      <c r="F574" s="19"/>
      <c r="G574" s="19"/>
      <c r="H574" s="19"/>
      <c r="I574" s="19"/>
    </row>
    <row r="575" spans="1:9">
      <c r="A575" s="2"/>
      <c r="B575" s="9" t="s">
        <v>70</v>
      </c>
      <c r="C575" s="9"/>
      <c r="D575" s="21" t="s">
        <v>73</v>
      </c>
      <c r="E575" s="22"/>
      <c r="F575" s="22"/>
      <c r="G575" s="23" t="s">
        <v>71</v>
      </c>
      <c r="H575" s="24"/>
      <c r="I575" s="22" t="s">
        <v>72</v>
      </c>
    </row>
    <row r="576" spans="1:9">
      <c r="A576" s="2"/>
      <c r="B576" s="2"/>
      <c r="C576" s="2"/>
      <c r="D576" s="13"/>
      <c r="E576" s="18"/>
      <c r="F576" s="18"/>
      <c r="G576" s="14"/>
      <c r="H576" s="15"/>
      <c r="I576" s="25">
        <f>ROUND(PRODUCT(ROUND(PRODUCT(D576,E576,F576), 0),G576,H576), 0)</f>
        <v>0</v>
      </c>
    </row>
    <row r="577" spans="1:9">
      <c r="A577" s="2"/>
      <c r="C577" s="2"/>
      <c r="D577" s="13">
        <v>1</v>
      </c>
      <c r="E577" s="18"/>
      <c r="F577" s="18"/>
      <c r="G577" s="14"/>
      <c r="H577" s="15"/>
      <c r="I577" s="25">
        <f t="shared" ref="I577:I579" si="34">ROUND(PRODUCT(ROUND(PRODUCT(D577,E577,F577), 0),G577,H577), 0)</f>
        <v>1</v>
      </c>
    </row>
    <row r="578" spans="1:9">
      <c r="A578" s="2"/>
      <c r="B578" s="2"/>
      <c r="C578" s="2"/>
      <c r="D578" s="13"/>
      <c r="E578" s="18"/>
      <c r="F578" s="18"/>
      <c r="G578" s="14"/>
      <c r="H578" s="15"/>
      <c r="I578" s="25">
        <f t="shared" si="34"/>
        <v>0</v>
      </c>
    </row>
    <row r="579" spans="1:9">
      <c r="A579" s="2"/>
      <c r="B579" s="2"/>
      <c r="C579" s="2"/>
      <c r="D579" s="13"/>
      <c r="E579" s="18"/>
      <c r="F579" s="18"/>
      <c r="G579" s="14"/>
      <c r="H579" s="15"/>
      <c r="I579" s="25">
        <f t="shared" si="34"/>
        <v>0</v>
      </c>
    </row>
    <row r="580" spans="1:9">
      <c r="A580" s="2"/>
      <c r="B580" s="2"/>
      <c r="C580" s="2"/>
      <c r="D580" s="16" t="s">
        <v>74</v>
      </c>
      <c r="E580" s="12"/>
      <c r="F580" s="12"/>
      <c r="G580" s="17" t="s">
        <v>75</v>
      </c>
      <c r="H580" s="12" t="s">
        <v>76</v>
      </c>
      <c r="I580" s="31">
        <f>SUM(I576:I579)</f>
        <v>1</v>
      </c>
    </row>
    <row r="583" spans="1:9">
      <c r="A583" s="6" t="s">
        <v>186</v>
      </c>
      <c r="B583" s="19" t="s">
        <v>187</v>
      </c>
      <c r="C583" s="19"/>
      <c r="D583" s="19"/>
      <c r="E583" s="19"/>
      <c r="F583" s="19"/>
      <c r="G583" s="19"/>
      <c r="H583" s="19"/>
      <c r="I583" s="19"/>
    </row>
    <row r="586" spans="1:9">
      <c r="A586" s="6" t="s">
        <v>188</v>
      </c>
      <c r="B586" s="19" t="s">
        <v>189</v>
      </c>
      <c r="C586" s="19"/>
      <c r="D586" s="19"/>
      <c r="E586" s="19"/>
      <c r="F586" s="19"/>
      <c r="G586" s="19"/>
      <c r="H586" s="19"/>
      <c r="I586" s="19"/>
    </row>
    <row r="589" spans="1:9">
      <c r="A589" s="6" t="s">
        <v>190</v>
      </c>
      <c r="B589" s="19" t="s">
        <v>191</v>
      </c>
      <c r="C589" s="19"/>
      <c r="D589" s="19"/>
      <c r="E589" s="19"/>
      <c r="F589" s="19"/>
      <c r="G589" s="19"/>
      <c r="H589" s="19"/>
      <c r="I589" s="19"/>
    </row>
    <row r="592" spans="1:9">
      <c r="A592" s="7" t="s">
        <v>192</v>
      </c>
      <c r="B592" s="19" t="s">
        <v>193</v>
      </c>
      <c r="C592" s="19"/>
      <c r="D592" s="19"/>
      <c r="E592" s="19"/>
      <c r="F592" s="19"/>
      <c r="G592" s="19"/>
      <c r="H592" s="19"/>
      <c r="I592" s="19"/>
    </row>
    <row r="593" spans="1:9">
      <c r="A593" s="2"/>
      <c r="B593" s="9" t="s">
        <v>70</v>
      </c>
      <c r="C593" s="9"/>
      <c r="D593" s="21"/>
      <c r="E593" s="22" t="s">
        <v>89</v>
      </c>
      <c r="F593" s="22"/>
      <c r="G593" s="23" t="s">
        <v>71</v>
      </c>
      <c r="H593" s="24"/>
      <c r="I593" s="22" t="s">
        <v>72</v>
      </c>
    </row>
    <row r="594" spans="1:9">
      <c r="A594" s="2"/>
      <c r="B594" s="2"/>
      <c r="C594" s="2"/>
      <c r="D594" s="13"/>
      <c r="E594" s="18"/>
      <c r="F594" s="18"/>
      <c r="G594" s="14"/>
      <c r="H594" s="15"/>
      <c r="I594" s="26">
        <f>ROUND(PRODUCT(ROUND(PRODUCT(D594,E594,F594), 2),G594,H594), 2)</f>
        <v>0</v>
      </c>
    </row>
    <row r="595" spans="1:9">
      <c r="A595" s="2"/>
      <c r="B595" s="1" t="s">
        <v>395</v>
      </c>
      <c r="C595" s="2" t="s">
        <v>396</v>
      </c>
      <c r="D595" s="13"/>
      <c r="E595" s="18">
        <v>10</v>
      </c>
      <c r="F595" s="18"/>
      <c r="G595" s="14"/>
      <c r="H595" s="15"/>
      <c r="I595" s="26">
        <f t="shared" ref="I595:I598" si="35">ROUND(PRODUCT(ROUND(PRODUCT(D595,E595,F595), 2),G595,H595), 2)</f>
        <v>10</v>
      </c>
    </row>
    <row r="596" spans="1:9">
      <c r="A596" s="2"/>
      <c r="B596" s="2"/>
      <c r="C596" s="2" t="s">
        <v>397</v>
      </c>
      <c r="D596" s="13"/>
      <c r="E596" s="18">
        <v>3</v>
      </c>
      <c r="F596" s="18"/>
      <c r="G596" s="14"/>
      <c r="H596" s="15"/>
      <c r="I596" s="26">
        <f t="shared" si="35"/>
        <v>3</v>
      </c>
    </row>
    <row r="597" spans="1:9">
      <c r="A597" s="2"/>
      <c r="B597" s="2"/>
      <c r="C597" s="2"/>
      <c r="D597" s="13"/>
      <c r="E597" s="18"/>
      <c r="F597" s="18"/>
      <c r="G597" s="14"/>
      <c r="H597" s="15"/>
      <c r="I597" s="26">
        <f t="shared" si="35"/>
        <v>0</v>
      </c>
    </row>
    <row r="598" spans="1:9">
      <c r="A598" s="2"/>
      <c r="B598" s="2"/>
      <c r="C598" s="2"/>
      <c r="D598" s="13"/>
      <c r="E598" s="18"/>
      <c r="F598" s="18"/>
      <c r="G598" s="14"/>
      <c r="H598" s="15"/>
      <c r="I598" s="26">
        <f t="shared" si="35"/>
        <v>0</v>
      </c>
    </row>
    <row r="599" spans="1:9">
      <c r="A599" s="2"/>
      <c r="B599" s="2"/>
      <c r="C599" s="2"/>
      <c r="D599" s="16" t="s">
        <v>74</v>
      </c>
      <c r="E599" s="12"/>
      <c r="F599" s="12"/>
      <c r="G599" s="17" t="s">
        <v>75</v>
      </c>
      <c r="H599" s="12" t="s">
        <v>91</v>
      </c>
      <c r="I599" s="32">
        <f>SUM(I594:I598)</f>
        <v>13</v>
      </c>
    </row>
    <row r="602" spans="1:9">
      <c r="A602" s="7" t="s">
        <v>194</v>
      </c>
      <c r="B602" s="19" t="s">
        <v>195</v>
      </c>
      <c r="C602" s="19"/>
      <c r="D602" s="19"/>
      <c r="E602" s="19"/>
      <c r="F602" s="19"/>
      <c r="G602" s="19"/>
      <c r="H602" s="19"/>
      <c r="I602" s="19"/>
    </row>
    <row r="603" spans="1:9">
      <c r="A603" s="2"/>
      <c r="B603" s="9" t="s">
        <v>70</v>
      </c>
      <c r="C603" s="9"/>
      <c r="D603" s="21"/>
      <c r="E603" s="22" t="s">
        <v>89</v>
      </c>
      <c r="F603" s="22"/>
      <c r="G603" s="23" t="s">
        <v>71</v>
      </c>
      <c r="H603" s="24"/>
      <c r="I603" s="22" t="s">
        <v>72</v>
      </c>
    </row>
    <row r="604" spans="1:9">
      <c r="A604" s="2"/>
      <c r="B604" s="2"/>
      <c r="C604" s="2"/>
      <c r="D604" s="13"/>
      <c r="E604" s="18"/>
      <c r="F604" s="18"/>
      <c r="G604" s="14"/>
      <c r="H604" s="15"/>
      <c r="I604" s="26">
        <f>ROUND(PRODUCT(ROUND(PRODUCT(D604,E604,F604), 2),G604,H604), 2)</f>
        <v>0</v>
      </c>
    </row>
    <row r="605" spans="1:9">
      <c r="A605" s="2"/>
      <c r="B605" s="1" t="s">
        <v>348</v>
      </c>
      <c r="C605" s="2" t="s">
        <v>398</v>
      </c>
      <c r="D605" s="13"/>
      <c r="E605" s="18">
        <v>14</v>
      </c>
      <c r="F605" s="18"/>
      <c r="G605" s="14"/>
      <c r="H605" s="15"/>
      <c r="I605" s="26">
        <f t="shared" ref="I605:I608" si="36">ROUND(PRODUCT(ROUND(PRODUCT(D605,E605,F605), 2),G605,H605), 2)</f>
        <v>14</v>
      </c>
    </row>
    <row r="606" spans="1:9">
      <c r="A606" s="2"/>
      <c r="B606" s="2"/>
      <c r="C606" s="2"/>
      <c r="D606" s="13"/>
      <c r="E606" s="18"/>
      <c r="F606" s="18"/>
      <c r="G606" s="14"/>
      <c r="H606" s="15"/>
      <c r="I606" s="26">
        <f t="shared" si="36"/>
        <v>0</v>
      </c>
    </row>
    <row r="607" spans="1:9">
      <c r="A607" s="2"/>
      <c r="B607" s="2"/>
      <c r="C607" s="2"/>
      <c r="D607" s="13"/>
      <c r="E607" s="18"/>
      <c r="F607" s="18"/>
      <c r="G607" s="14"/>
      <c r="H607" s="15"/>
      <c r="I607" s="26">
        <f t="shared" si="36"/>
        <v>0</v>
      </c>
    </row>
    <row r="608" spans="1:9">
      <c r="A608" s="2"/>
      <c r="B608" s="2"/>
      <c r="C608" s="2"/>
      <c r="D608" s="13"/>
      <c r="E608" s="18"/>
      <c r="F608" s="18"/>
      <c r="G608" s="14"/>
      <c r="H608" s="15"/>
      <c r="I608" s="26">
        <f t="shared" si="36"/>
        <v>0</v>
      </c>
    </row>
    <row r="609" spans="1:9">
      <c r="A609" s="2"/>
      <c r="B609" s="2"/>
      <c r="C609" s="2"/>
      <c r="D609" s="16" t="s">
        <v>74</v>
      </c>
      <c r="E609" s="12"/>
      <c r="F609" s="12"/>
      <c r="G609" s="17" t="s">
        <v>75</v>
      </c>
      <c r="H609" s="12" t="s">
        <v>91</v>
      </c>
      <c r="I609" s="32">
        <f>SUM(I604:I608)</f>
        <v>14</v>
      </c>
    </row>
    <row r="612" spans="1:9">
      <c r="A612" s="6" t="s">
        <v>196</v>
      </c>
      <c r="B612" s="19" t="s">
        <v>197</v>
      </c>
      <c r="C612" s="19"/>
      <c r="D612" s="19"/>
      <c r="E612" s="19"/>
      <c r="F612" s="19"/>
      <c r="G612" s="19"/>
      <c r="H612" s="19"/>
      <c r="I612" s="19"/>
    </row>
    <row r="615" spans="1:9">
      <c r="A615" s="7" t="s">
        <v>198</v>
      </c>
      <c r="B615" s="19" t="s">
        <v>199</v>
      </c>
      <c r="C615" s="19"/>
      <c r="D615" s="19"/>
      <c r="E615" s="19"/>
      <c r="F615" s="19"/>
      <c r="G615" s="19"/>
      <c r="H615" s="19"/>
      <c r="I615" s="19"/>
    </row>
    <row r="616" spans="1:9">
      <c r="D616" s="16" t="s">
        <v>74</v>
      </c>
      <c r="E616" s="12"/>
      <c r="F616" s="12"/>
      <c r="G616" s="17"/>
      <c r="H616" s="12" t="s">
        <v>297</v>
      </c>
      <c r="I616" s="10"/>
    </row>
    <row r="619" spans="1:9">
      <c r="A619" s="7" t="s">
        <v>200</v>
      </c>
      <c r="B619" s="19" t="s">
        <v>201</v>
      </c>
      <c r="C619" s="19"/>
      <c r="D619" s="19"/>
      <c r="E619" s="19"/>
      <c r="F619" s="19"/>
      <c r="G619" s="19"/>
      <c r="H619" s="19"/>
      <c r="I619" s="19"/>
    </row>
    <row r="620" spans="1:9">
      <c r="D620" s="16" t="s">
        <v>74</v>
      </c>
      <c r="E620" s="12"/>
      <c r="F620" s="12"/>
      <c r="G620" s="17"/>
      <c r="H620" s="12" t="s">
        <v>297</v>
      </c>
      <c r="I620" s="10"/>
    </row>
    <row r="623" spans="1:9">
      <c r="A623" s="7" t="s">
        <v>202</v>
      </c>
      <c r="B623" s="19" t="s">
        <v>203</v>
      </c>
      <c r="C623" s="19"/>
      <c r="D623" s="19"/>
      <c r="E623" s="19"/>
      <c r="F623" s="19"/>
      <c r="G623" s="19"/>
      <c r="H623" s="19"/>
      <c r="I623" s="19"/>
    </row>
    <row r="624" spans="1:9">
      <c r="D624" s="16" t="s">
        <v>74</v>
      </c>
      <c r="E624" s="12"/>
      <c r="F624" s="12"/>
      <c r="G624" s="17"/>
      <c r="H624" s="12" t="s">
        <v>297</v>
      </c>
      <c r="I624" s="10"/>
    </row>
    <row r="627" spans="1:9">
      <c r="A627" s="6" t="s">
        <v>204</v>
      </c>
      <c r="B627" s="19" t="s">
        <v>205</v>
      </c>
      <c r="C627" s="19"/>
      <c r="D627" s="19"/>
      <c r="E627" s="19"/>
      <c r="F627" s="19"/>
      <c r="G627" s="19"/>
      <c r="H627" s="19"/>
      <c r="I627" s="19"/>
    </row>
    <row r="630" spans="1:9">
      <c r="A630" s="6" t="s">
        <v>206</v>
      </c>
      <c r="B630" s="19" t="s">
        <v>207</v>
      </c>
      <c r="C630" s="19"/>
      <c r="D630" s="19"/>
      <c r="E630" s="19"/>
      <c r="F630" s="19"/>
      <c r="G630" s="19"/>
      <c r="H630" s="19"/>
      <c r="I630" s="19"/>
    </row>
    <row r="633" spans="1:9">
      <c r="A633" s="7" t="s">
        <v>208</v>
      </c>
      <c r="B633" s="19" t="s">
        <v>209</v>
      </c>
      <c r="C633" s="19"/>
      <c r="D633" s="19"/>
      <c r="E633" s="19"/>
      <c r="F633" s="19"/>
      <c r="G633" s="19"/>
      <c r="H633" s="19"/>
      <c r="I633" s="19"/>
    </row>
    <row r="634" spans="1:9">
      <c r="D634" s="16" t="s">
        <v>74</v>
      </c>
      <c r="E634" s="12"/>
      <c r="F634" s="12"/>
      <c r="G634" s="17"/>
      <c r="H634" s="12" t="s">
        <v>297</v>
      </c>
      <c r="I634" s="10"/>
    </row>
    <row r="637" spans="1:9">
      <c r="A637" s="6" t="s">
        <v>210</v>
      </c>
      <c r="B637" s="19" t="s">
        <v>211</v>
      </c>
      <c r="C637" s="19"/>
      <c r="D637" s="19"/>
      <c r="E637" s="19"/>
      <c r="F637" s="19"/>
      <c r="G637" s="19"/>
      <c r="H637" s="19"/>
      <c r="I637" s="19"/>
    </row>
    <row r="640" spans="1:9">
      <c r="A640" s="7" t="s">
        <v>212</v>
      </c>
      <c r="B640" s="19" t="s">
        <v>213</v>
      </c>
      <c r="C640" s="19"/>
      <c r="D640" s="19"/>
      <c r="E640" s="19"/>
      <c r="F640" s="19"/>
      <c r="G640" s="19"/>
      <c r="H640" s="19"/>
      <c r="I640" s="19"/>
    </row>
    <row r="643" spans="1:9">
      <c r="A643" s="8" t="s">
        <v>322</v>
      </c>
      <c r="B643" s="19" t="s">
        <v>399</v>
      </c>
      <c r="C643" s="19"/>
      <c r="D643" s="19"/>
      <c r="E643" s="19"/>
      <c r="F643" s="19"/>
      <c r="G643" s="19"/>
      <c r="H643" s="19"/>
      <c r="I643" s="19"/>
    </row>
    <row r="644" spans="1:9">
      <c r="A644" s="2"/>
      <c r="B644" s="9" t="s">
        <v>70</v>
      </c>
      <c r="C644" s="9"/>
      <c r="D644" s="21" t="s">
        <v>73</v>
      </c>
      <c r="E644" s="22"/>
      <c r="F644" s="22"/>
      <c r="G644" s="23" t="s">
        <v>71</v>
      </c>
      <c r="H644" s="24"/>
      <c r="I644" s="22" t="s">
        <v>72</v>
      </c>
    </row>
    <row r="645" spans="1:9">
      <c r="A645" s="2"/>
      <c r="B645" s="2"/>
      <c r="C645" s="2"/>
      <c r="D645" s="13"/>
      <c r="E645" s="18"/>
      <c r="F645" s="18"/>
      <c r="G645" s="14"/>
      <c r="H645" s="15"/>
      <c r="I645" s="25">
        <f>ROUND(PRODUCT(ROUND(PRODUCT(D645,E645,F645), 0),G645,H645), 0)</f>
        <v>0</v>
      </c>
    </row>
    <row r="646" spans="1:9">
      <c r="A646" s="2"/>
      <c r="C646" s="2"/>
      <c r="D646" s="13">
        <v>1</v>
      </c>
      <c r="E646" s="18"/>
      <c r="F646" s="18"/>
      <c r="G646" s="14"/>
      <c r="H646" s="15"/>
      <c r="I646" s="25">
        <f t="shared" ref="I646:I649" si="37">ROUND(PRODUCT(ROUND(PRODUCT(D646,E646,F646), 0),G646,H646), 0)</f>
        <v>1</v>
      </c>
    </row>
    <row r="647" spans="1:9">
      <c r="A647" s="2"/>
      <c r="B647" s="2"/>
      <c r="C647" s="2"/>
      <c r="D647" s="13"/>
      <c r="E647" s="18"/>
      <c r="F647" s="18"/>
      <c r="G647" s="14"/>
      <c r="H647" s="15"/>
      <c r="I647" s="25">
        <f t="shared" si="37"/>
        <v>0</v>
      </c>
    </row>
    <row r="648" spans="1:9">
      <c r="A648" s="2"/>
      <c r="B648" s="2"/>
      <c r="C648" s="2"/>
      <c r="D648" s="13"/>
      <c r="E648" s="18"/>
      <c r="F648" s="18"/>
      <c r="G648" s="14"/>
      <c r="H648" s="15"/>
      <c r="I648" s="25">
        <f t="shared" si="37"/>
        <v>0</v>
      </c>
    </row>
    <row r="649" spans="1:9">
      <c r="A649" s="2"/>
      <c r="B649" s="2"/>
      <c r="C649" s="2"/>
      <c r="D649" s="13"/>
      <c r="E649" s="18"/>
      <c r="F649" s="18"/>
      <c r="G649" s="14"/>
      <c r="H649" s="15"/>
      <c r="I649" s="25">
        <f t="shared" si="37"/>
        <v>0</v>
      </c>
    </row>
    <row r="650" spans="1:9">
      <c r="A650" s="2"/>
      <c r="B650" s="2"/>
      <c r="C650" s="2"/>
      <c r="D650" s="16" t="s">
        <v>74</v>
      </c>
      <c r="E650" s="12"/>
      <c r="F650" s="12"/>
      <c r="G650" s="17" t="s">
        <v>75</v>
      </c>
      <c r="H650" s="12" t="s">
        <v>76</v>
      </c>
      <c r="I650" s="31">
        <f>SUM(I645:I649)</f>
        <v>1</v>
      </c>
    </row>
    <row r="653" spans="1:9">
      <c r="A653" s="6" t="s">
        <v>214</v>
      </c>
      <c r="B653" s="19" t="s">
        <v>215</v>
      </c>
      <c r="C653" s="19"/>
      <c r="D653" s="19"/>
      <c r="E653" s="19"/>
      <c r="F653" s="19"/>
      <c r="G653" s="19"/>
      <c r="H653" s="19"/>
      <c r="I653" s="19"/>
    </row>
    <row r="656" spans="1:9">
      <c r="A656" s="7" t="s">
        <v>216</v>
      </c>
      <c r="B656" s="19" t="s">
        <v>486</v>
      </c>
      <c r="C656" s="19"/>
      <c r="D656" s="19"/>
      <c r="E656" s="19"/>
      <c r="F656" s="19"/>
      <c r="G656" s="19"/>
      <c r="H656" s="19"/>
      <c r="I656" s="19"/>
    </row>
    <row r="659" spans="1:9">
      <c r="A659" s="8" t="s">
        <v>323</v>
      </c>
      <c r="B659" s="19" t="s">
        <v>487</v>
      </c>
      <c r="C659" s="19"/>
      <c r="D659" s="19"/>
      <c r="E659" s="19"/>
      <c r="F659" s="19"/>
      <c r="G659" s="19"/>
      <c r="H659" s="19"/>
      <c r="I659" s="19"/>
    </row>
    <row r="660" spans="1:9">
      <c r="A660" s="2"/>
      <c r="B660" s="9" t="s">
        <v>70</v>
      </c>
      <c r="C660" s="9"/>
      <c r="D660" s="21"/>
      <c r="E660" s="22" t="s">
        <v>89</v>
      </c>
      <c r="F660" s="22"/>
      <c r="G660" s="23" t="s">
        <v>71</v>
      </c>
      <c r="H660" s="24"/>
      <c r="I660" s="22" t="s">
        <v>72</v>
      </c>
    </row>
    <row r="661" spans="1:9">
      <c r="A661" s="2"/>
      <c r="B661" s="2"/>
      <c r="C661" s="2"/>
      <c r="D661" s="13"/>
      <c r="E661" s="18"/>
      <c r="F661" s="18"/>
      <c r="G661" s="14"/>
      <c r="H661" s="15"/>
      <c r="I661" s="26">
        <f>ROUND(PRODUCT(ROUND(PRODUCT(D661,E661,F661), 2),G661,H661), 2)</f>
        <v>0</v>
      </c>
    </row>
    <row r="662" spans="1:9">
      <c r="A662" s="2"/>
      <c r="B662" s="1" t="s">
        <v>429</v>
      </c>
      <c r="C662" s="2"/>
      <c r="D662" s="13"/>
      <c r="E662" s="18">
        <v>2.63</v>
      </c>
      <c r="F662" s="18"/>
      <c r="G662" s="14"/>
      <c r="H662" s="15">
        <v>2</v>
      </c>
      <c r="I662" s="26">
        <f t="shared" ref="I662:I678" si="38">ROUND(PRODUCT(ROUND(PRODUCT(D662,E662,F662), 2),G662,H662), 2)</f>
        <v>5.26</v>
      </c>
    </row>
    <row r="663" spans="1:9">
      <c r="A663" s="2"/>
      <c r="B663" s="2"/>
      <c r="C663" s="2"/>
      <c r="D663" s="13"/>
      <c r="E663" s="18">
        <v>6.98</v>
      </c>
      <c r="F663" s="18"/>
      <c r="G663" s="14"/>
      <c r="H663" s="15">
        <v>2</v>
      </c>
      <c r="I663" s="26">
        <f t="shared" si="38"/>
        <v>13.96</v>
      </c>
    </row>
    <row r="664" spans="1:9">
      <c r="A664" s="2"/>
      <c r="B664" s="2"/>
      <c r="C664" s="2"/>
      <c r="D664" s="13"/>
      <c r="E664" s="18">
        <v>12.46</v>
      </c>
      <c r="F664" s="18"/>
      <c r="G664" s="14"/>
      <c r="H664" s="15">
        <v>2</v>
      </c>
      <c r="I664" s="26">
        <f t="shared" si="38"/>
        <v>24.92</v>
      </c>
    </row>
    <row r="665" spans="1:9">
      <c r="A665" s="2"/>
      <c r="B665" s="2"/>
      <c r="C665" s="2"/>
      <c r="D665" s="13"/>
      <c r="E665" s="18">
        <v>26.35</v>
      </c>
      <c r="F665" s="18"/>
      <c r="G665" s="14"/>
      <c r="H665" s="15">
        <v>2</v>
      </c>
      <c r="I665" s="26">
        <f t="shared" si="38"/>
        <v>52.7</v>
      </c>
    </row>
    <row r="666" spans="1:9">
      <c r="A666" s="2"/>
      <c r="C666" s="2"/>
      <c r="D666" s="13"/>
      <c r="E666" s="18">
        <v>9.65</v>
      </c>
      <c r="F666" s="18"/>
      <c r="G666" s="14"/>
      <c r="H666" s="15">
        <v>2</v>
      </c>
      <c r="I666" s="26">
        <f t="shared" si="38"/>
        <v>19.3</v>
      </c>
    </row>
    <row r="667" spans="1:9">
      <c r="A667" s="2"/>
      <c r="B667" s="2"/>
      <c r="C667" s="2"/>
      <c r="D667" s="13"/>
      <c r="E667" s="18">
        <v>26.09</v>
      </c>
      <c r="F667" s="18"/>
      <c r="G667" s="14"/>
      <c r="H667" s="15">
        <v>2</v>
      </c>
      <c r="I667" s="26">
        <f t="shared" si="38"/>
        <v>52.18</v>
      </c>
    </row>
    <row r="668" spans="1:9">
      <c r="A668" s="2"/>
      <c r="B668" s="2"/>
      <c r="C668" s="2"/>
      <c r="D668" s="13"/>
      <c r="E668" s="18">
        <v>29.77</v>
      </c>
      <c r="F668" s="18"/>
      <c r="G668" s="14"/>
      <c r="H668" s="15">
        <v>2</v>
      </c>
      <c r="I668" s="26">
        <f t="shared" si="38"/>
        <v>59.54</v>
      </c>
    </row>
    <row r="669" spans="1:9">
      <c r="A669" s="2"/>
      <c r="C669" s="2"/>
      <c r="D669" s="13"/>
      <c r="E669" s="18">
        <v>24.05</v>
      </c>
      <c r="F669" s="18"/>
      <c r="G669" s="14"/>
      <c r="H669" s="15">
        <v>2</v>
      </c>
      <c r="I669" s="26">
        <f t="shared" si="38"/>
        <v>48.1</v>
      </c>
    </row>
    <row r="670" spans="1:9">
      <c r="A670" s="2"/>
      <c r="B670" s="2"/>
      <c r="C670" s="2"/>
      <c r="D670" s="13"/>
      <c r="E670" s="18">
        <v>15.72</v>
      </c>
      <c r="F670" s="18"/>
      <c r="G670" s="14"/>
      <c r="H670" s="15">
        <v>2</v>
      </c>
      <c r="I670" s="26">
        <f t="shared" si="38"/>
        <v>31.44</v>
      </c>
    </row>
    <row r="671" spans="1:9">
      <c r="A671" s="2"/>
      <c r="B671" s="2"/>
      <c r="C671" s="2"/>
      <c r="D671" s="13"/>
      <c r="E671" s="18"/>
      <c r="F671" s="18"/>
      <c r="G671" s="14"/>
      <c r="H671" s="15">
        <v>2</v>
      </c>
      <c r="I671" s="26">
        <f t="shared" ref="I671:I674" si="39">ROUND(PRODUCT(ROUND(PRODUCT(D671,E671,F671), 2),G671,H671), 2)</f>
        <v>0</v>
      </c>
    </row>
    <row r="672" spans="1:9">
      <c r="A672" s="2"/>
      <c r="B672" s="2" t="s">
        <v>432</v>
      </c>
      <c r="C672" s="2"/>
      <c r="D672" s="13"/>
      <c r="E672" s="18">
        <v>7.19</v>
      </c>
      <c r="F672" s="18"/>
      <c r="G672" s="14"/>
      <c r="H672" s="15">
        <v>2</v>
      </c>
      <c r="I672" s="26">
        <f t="shared" si="39"/>
        <v>14.38</v>
      </c>
    </row>
    <row r="673" spans="1:9">
      <c r="A673" s="2"/>
      <c r="B673" s="2"/>
      <c r="C673" s="2"/>
      <c r="D673" s="13"/>
      <c r="E673" s="18">
        <v>12.1</v>
      </c>
      <c r="F673" s="18"/>
      <c r="G673" s="14"/>
      <c r="H673" s="15">
        <v>2</v>
      </c>
      <c r="I673" s="26">
        <f t="shared" si="39"/>
        <v>24.2</v>
      </c>
    </row>
    <row r="674" spans="1:9">
      <c r="A674" s="2"/>
      <c r="B674" s="2"/>
      <c r="C674" s="2"/>
      <c r="D674" s="13"/>
      <c r="E674" s="18">
        <v>19.690000000000001</v>
      </c>
      <c r="F674" s="18"/>
      <c r="G674" s="14"/>
      <c r="H674" s="15">
        <v>2</v>
      </c>
      <c r="I674" s="26">
        <f t="shared" si="39"/>
        <v>39.380000000000003</v>
      </c>
    </row>
    <row r="675" spans="1:9">
      <c r="A675" s="2"/>
      <c r="B675" s="2"/>
      <c r="C675" s="2"/>
      <c r="D675" s="13"/>
      <c r="E675" s="18">
        <v>23.74</v>
      </c>
      <c r="F675" s="18"/>
      <c r="G675" s="14"/>
      <c r="H675" s="15">
        <v>2</v>
      </c>
      <c r="I675" s="26">
        <f t="shared" si="38"/>
        <v>47.48</v>
      </c>
    </row>
    <row r="676" spans="1:9">
      <c r="A676" s="2"/>
      <c r="B676" s="2"/>
      <c r="C676" s="2"/>
      <c r="D676" s="13"/>
      <c r="E676" s="18">
        <v>29.51</v>
      </c>
      <c r="F676" s="18"/>
      <c r="G676" s="14"/>
      <c r="H676" s="15">
        <v>2</v>
      </c>
      <c r="I676" s="26">
        <f t="shared" si="38"/>
        <v>59.02</v>
      </c>
    </row>
    <row r="677" spans="1:9">
      <c r="A677" s="2"/>
      <c r="B677" s="2"/>
      <c r="C677" s="2"/>
      <c r="D677" s="13"/>
      <c r="E677" s="18">
        <v>33.229999999999997</v>
      </c>
      <c r="F677" s="18"/>
      <c r="G677" s="14"/>
      <c r="H677" s="15">
        <v>2</v>
      </c>
      <c r="I677" s="26">
        <f t="shared" si="38"/>
        <v>66.459999999999994</v>
      </c>
    </row>
    <row r="678" spans="1:9">
      <c r="A678" s="2"/>
      <c r="B678" s="2"/>
      <c r="C678" s="2"/>
      <c r="D678" s="13"/>
      <c r="E678" s="18"/>
      <c r="F678" s="18"/>
      <c r="G678" s="14"/>
      <c r="H678" s="15"/>
      <c r="I678" s="26">
        <f t="shared" si="38"/>
        <v>0</v>
      </c>
    </row>
    <row r="679" spans="1:9">
      <c r="A679" s="2"/>
      <c r="B679" s="2"/>
      <c r="C679" s="2"/>
      <c r="D679" s="16" t="s">
        <v>74</v>
      </c>
      <c r="E679" s="12"/>
      <c r="F679" s="12"/>
      <c r="G679" s="17" t="s">
        <v>75</v>
      </c>
      <c r="H679" s="12" t="s">
        <v>91</v>
      </c>
      <c r="I679" s="32">
        <f>SUM(I661:I678)</f>
        <v>558.31999999999994</v>
      </c>
    </row>
    <row r="682" spans="1:9">
      <c r="A682" s="7" t="s">
        <v>217</v>
      </c>
      <c r="B682" s="19" t="s">
        <v>218</v>
      </c>
      <c r="C682" s="19"/>
      <c r="D682" s="19"/>
      <c r="E682" s="19"/>
      <c r="F682" s="19"/>
      <c r="G682" s="19"/>
      <c r="H682" s="19"/>
      <c r="I682" s="19"/>
    </row>
    <row r="683" spans="1:9">
      <c r="A683" s="2"/>
      <c r="B683" s="9" t="s">
        <v>70</v>
      </c>
      <c r="C683" s="9"/>
      <c r="D683" s="21" t="s">
        <v>73</v>
      </c>
      <c r="E683" s="22"/>
      <c r="F683" s="22"/>
      <c r="G683" s="23" t="s">
        <v>71</v>
      </c>
      <c r="H683" s="24"/>
      <c r="I683" s="22" t="s">
        <v>72</v>
      </c>
    </row>
    <row r="684" spans="1:9">
      <c r="A684" s="2"/>
      <c r="B684" s="2"/>
      <c r="C684" s="2"/>
      <c r="D684" s="13"/>
      <c r="E684" s="18"/>
      <c r="F684" s="18"/>
      <c r="G684" s="14"/>
      <c r="H684" s="15"/>
      <c r="I684" s="25">
        <f>ROUND(PRODUCT(ROUND(PRODUCT(D684,E684,F684), 0),G684,H684), 0)</f>
        <v>0</v>
      </c>
    </row>
    <row r="685" spans="1:9">
      <c r="A685" s="2"/>
      <c r="B685" s="1" t="s">
        <v>433</v>
      </c>
      <c r="C685" s="2"/>
      <c r="D685" s="13">
        <v>4</v>
      </c>
      <c r="E685" s="18"/>
      <c r="F685" s="18"/>
      <c r="G685" s="14"/>
      <c r="H685" s="15"/>
      <c r="I685" s="25">
        <f t="shared" ref="I685:I687" si="40">ROUND(PRODUCT(ROUND(PRODUCT(D685,E685,F685), 0),G685,H685), 0)</f>
        <v>4</v>
      </c>
    </row>
    <row r="686" spans="1:9">
      <c r="A686" s="2"/>
      <c r="B686" s="2"/>
      <c r="C686" s="2"/>
      <c r="D686" s="13"/>
      <c r="E686" s="18"/>
      <c r="F686" s="18"/>
      <c r="G686" s="14"/>
      <c r="H686" s="15"/>
      <c r="I686" s="25">
        <f t="shared" si="40"/>
        <v>0</v>
      </c>
    </row>
    <row r="687" spans="1:9">
      <c r="A687" s="2"/>
      <c r="B687" s="2"/>
      <c r="C687" s="2"/>
      <c r="D687" s="13"/>
      <c r="E687" s="18"/>
      <c r="F687" s="18"/>
      <c r="G687" s="14"/>
      <c r="H687" s="15"/>
      <c r="I687" s="25">
        <f t="shared" si="40"/>
        <v>0</v>
      </c>
    </row>
    <row r="688" spans="1:9">
      <c r="A688" s="2"/>
      <c r="B688" s="2"/>
      <c r="C688" s="2"/>
      <c r="D688" s="16" t="s">
        <v>74</v>
      </c>
      <c r="E688" s="12"/>
      <c r="F688" s="12"/>
      <c r="G688" s="17" t="s">
        <v>75</v>
      </c>
      <c r="H688" s="12" t="s">
        <v>76</v>
      </c>
      <c r="I688" s="31">
        <f>SUM(I684:I687)</f>
        <v>4</v>
      </c>
    </row>
    <row r="691" spans="1:9">
      <c r="A691" s="7" t="s">
        <v>219</v>
      </c>
      <c r="B691" s="19" t="s">
        <v>488</v>
      </c>
      <c r="C691" s="19"/>
      <c r="D691" s="19"/>
      <c r="E691" s="19"/>
      <c r="F691" s="19"/>
      <c r="G691" s="19"/>
      <c r="H691" s="19"/>
      <c r="I691" s="19"/>
    </row>
    <row r="692" spans="1:9">
      <c r="A692" s="2"/>
      <c r="B692" s="9" t="s">
        <v>70</v>
      </c>
      <c r="C692" s="9"/>
      <c r="D692" s="21"/>
      <c r="E692" s="22" t="s">
        <v>89</v>
      </c>
      <c r="F692" s="22"/>
      <c r="G692" s="23" t="s">
        <v>71</v>
      </c>
      <c r="H692" s="24"/>
      <c r="I692" s="22" t="s">
        <v>72</v>
      </c>
    </row>
    <row r="693" spans="1:9">
      <c r="A693" s="2"/>
      <c r="B693" s="2"/>
      <c r="C693" s="2"/>
      <c r="D693" s="13"/>
      <c r="E693" s="18"/>
      <c r="F693" s="18"/>
      <c r="G693" s="14"/>
      <c r="H693" s="15"/>
      <c r="I693" s="26">
        <f>ROUND(PRODUCT(ROUND(PRODUCT(D693,E693,F693), 2),G693,H693), 2)</f>
        <v>0</v>
      </c>
    </row>
    <row r="694" spans="1:9">
      <c r="A694" s="2"/>
      <c r="B694" s="1" t="s">
        <v>400</v>
      </c>
      <c r="C694" s="1" t="s">
        <v>323</v>
      </c>
      <c r="D694" s="13"/>
      <c r="E694" s="18">
        <f>I679</f>
        <v>558.31999999999994</v>
      </c>
      <c r="F694" s="18"/>
      <c r="G694" s="14"/>
      <c r="H694" s="15"/>
      <c r="I694" s="26">
        <f t="shared" ref="I694:I696" si="41">ROUND(PRODUCT(ROUND(PRODUCT(D694,E694,F694), 2),G694,H694), 2)</f>
        <v>558.32000000000005</v>
      </c>
    </row>
    <row r="695" spans="1:9">
      <c r="A695" s="2"/>
      <c r="B695" s="2"/>
      <c r="C695" s="2"/>
      <c r="D695" s="13"/>
      <c r="E695" s="18"/>
      <c r="F695" s="18"/>
      <c r="G695" s="14"/>
      <c r="H695" s="15"/>
      <c r="I695" s="26">
        <f t="shared" si="41"/>
        <v>0</v>
      </c>
    </row>
    <row r="696" spans="1:9">
      <c r="A696" s="2"/>
      <c r="B696" s="2"/>
      <c r="C696" s="2"/>
      <c r="D696" s="13"/>
      <c r="E696" s="18"/>
      <c r="F696" s="18"/>
      <c r="G696" s="14"/>
      <c r="H696" s="15"/>
      <c r="I696" s="26">
        <f t="shared" si="41"/>
        <v>0</v>
      </c>
    </row>
    <row r="697" spans="1:9">
      <c r="A697" s="2"/>
      <c r="B697" s="2"/>
      <c r="C697" s="2"/>
      <c r="D697" s="16" t="s">
        <v>74</v>
      </c>
      <c r="E697" s="12"/>
      <c r="F697" s="12"/>
      <c r="G697" s="17" t="s">
        <v>75</v>
      </c>
      <c r="H697" s="12" t="s">
        <v>91</v>
      </c>
      <c r="I697" s="32">
        <f>SUM(I693:I696)</f>
        <v>558.32000000000005</v>
      </c>
    </row>
    <row r="700" spans="1:9">
      <c r="A700" s="7" t="s">
        <v>220</v>
      </c>
      <c r="B700" s="19" t="s">
        <v>221</v>
      </c>
      <c r="C700" s="19"/>
      <c r="D700" s="19"/>
      <c r="E700" s="19"/>
      <c r="F700" s="19"/>
      <c r="G700" s="19"/>
      <c r="H700" s="19"/>
      <c r="I700" s="19"/>
    </row>
    <row r="701" spans="1:9">
      <c r="D701" s="16" t="s">
        <v>74</v>
      </c>
      <c r="E701" s="12"/>
      <c r="F701" s="12"/>
      <c r="G701" s="17"/>
      <c r="H701" s="12" t="s">
        <v>297</v>
      </c>
      <c r="I701" s="10"/>
    </row>
    <row r="704" spans="1:9">
      <c r="A704" s="6" t="s">
        <v>222</v>
      </c>
      <c r="B704" s="19" t="s">
        <v>223</v>
      </c>
      <c r="C704" s="19"/>
      <c r="D704" s="19"/>
      <c r="E704" s="19"/>
      <c r="F704" s="19"/>
      <c r="G704" s="19"/>
      <c r="H704" s="19"/>
      <c r="I704" s="19"/>
    </row>
    <row r="707" spans="1:9">
      <c r="A707" s="7" t="s">
        <v>224</v>
      </c>
      <c r="B707" s="19" t="s">
        <v>225</v>
      </c>
      <c r="C707" s="19"/>
      <c r="D707" s="19"/>
      <c r="E707" s="19"/>
      <c r="F707" s="19"/>
      <c r="G707" s="19"/>
      <c r="H707" s="19"/>
      <c r="I707" s="19"/>
    </row>
    <row r="708" spans="1:9">
      <c r="A708" s="2"/>
      <c r="B708" s="9" t="s">
        <v>70</v>
      </c>
      <c r="C708" s="9"/>
      <c r="D708" s="21" t="s">
        <v>73</v>
      </c>
      <c r="E708" s="22"/>
      <c r="F708" s="22"/>
      <c r="G708" s="23" t="s">
        <v>71</v>
      </c>
      <c r="H708" s="24"/>
      <c r="I708" s="22" t="s">
        <v>72</v>
      </c>
    </row>
    <row r="709" spans="1:9">
      <c r="A709" s="2"/>
      <c r="B709" s="2"/>
      <c r="C709" s="2"/>
      <c r="D709" s="13"/>
      <c r="E709" s="18"/>
      <c r="F709" s="18"/>
      <c r="G709" s="14"/>
      <c r="H709" s="15"/>
      <c r="I709" s="25">
        <f>ROUND(PRODUCT(ROUND(PRODUCT(D709,E709,F709), 0),G709,H709), 0)</f>
        <v>0</v>
      </c>
    </row>
    <row r="710" spans="1:9">
      <c r="A710" s="2"/>
      <c r="B710" s="1" t="s">
        <v>349</v>
      </c>
      <c r="C710" s="2"/>
      <c r="D710" s="13">
        <f>6+9</f>
        <v>15</v>
      </c>
      <c r="E710" s="18"/>
      <c r="F710" s="18"/>
      <c r="G710" s="14"/>
      <c r="H710" s="15"/>
      <c r="I710" s="25">
        <f t="shared" ref="I710:I713" si="42">ROUND(PRODUCT(ROUND(PRODUCT(D710,E710,F710), 0),G710,H710), 0)</f>
        <v>15</v>
      </c>
    </row>
    <row r="711" spans="1:9">
      <c r="A711" s="2"/>
      <c r="B711" s="2" t="s">
        <v>360</v>
      </c>
      <c r="C711" s="2"/>
      <c r="D711" s="13">
        <v>4</v>
      </c>
      <c r="E711" s="18"/>
      <c r="F711" s="18"/>
      <c r="G711" s="14"/>
      <c r="H711" s="15"/>
      <c r="I711" s="25">
        <f t="shared" si="42"/>
        <v>4</v>
      </c>
    </row>
    <row r="712" spans="1:9">
      <c r="A712" s="2"/>
      <c r="B712" s="2" t="s">
        <v>361</v>
      </c>
      <c r="C712" s="2"/>
      <c r="D712" s="13">
        <v>1</v>
      </c>
      <c r="E712" s="18"/>
      <c r="F712" s="18"/>
      <c r="G712" s="14"/>
      <c r="H712" s="15"/>
      <c r="I712" s="25">
        <f t="shared" si="42"/>
        <v>1</v>
      </c>
    </row>
    <row r="713" spans="1:9">
      <c r="A713" s="2"/>
      <c r="B713" s="2"/>
      <c r="C713" s="2"/>
      <c r="D713" s="13"/>
      <c r="E713" s="18"/>
      <c r="F713" s="18"/>
      <c r="G713" s="14"/>
      <c r="H713" s="15"/>
      <c r="I713" s="25">
        <f t="shared" si="42"/>
        <v>0</v>
      </c>
    </row>
    <row r="714" spans="1:9">
      <c r="A714" s="2"/>
      <c r="B714" s="2"/>
      <c r="C714" s="2"/>
      <c r="D714" s="16" t="s">
        <v>74</v>
      </c>
      <c r="E714" s="12"/>
      <c r="F714" s="12"/>
      <c r="G714" s="17" t="s">
        <v>75</v>
      </c>
      <c r="H714" s="12" t="s">
        <v>76</v>
      </c>
      <c r="I714" s="31">
        <f>SUM(I709:I713)</f>
        <v>20</v>
      </c>
    </row>
    <row r="717" spans="1:9">
      <c r="A717" s="7" t="s">
        <v>226</v>
      </c>
      <c r="B717" s="19" t="s">
        <v>227</v>
      </c>
      <c r="C717" s="19"/>
      <c r="D717" s="19"/>
      <c r="E717" s="19"/>
      <c r="F717" s="19"/>
      <c r="G717" s="19"/>
      <c r="H717" s="19"/>
      <c r="I717" s="19"/>
    </row>
    <row r="718" spans="1:9">
      <c r="A718" s="2"/>
      <c r="B718" s="9" t="s">
        <v>70</v>
      </c>
      <c r="C718" s="9"/>
      <c r="D718" s="21" t="s">
        <v>73</v>
      </c>
      <c r="E718" s="22"/>
      <c r="F718" s="22"/>
      <c r="G718" s="23" t="s">
        <v>71</v>
      </c>
      <c r="H718" s="24"/>
      <c r="I718" s="22" t="s">
        <v>72</v>
      </c>
    </row>
    <row r="719" spans="1:9">
      <c r="A719" s="2"/>
      <c r="B719" s="2"/>
      <c r="C719" s="2"/>
      <c r="D719" s="13"/>
      <c r="E719" s="18"/>
      <c r="F719" s="18"/>
      <c r="G719" s="14"/>
      <c r="H719" s="15"/>
      <c r="I719" s="25">
        <f>ROUND(PRODUCT(ROUND(PRODUCT(D719,E719,F719), 0),G719,H719), 0)</f>
        <v>0</v>
      </c>
    </row>
    <row r="720" spans="1:9">
      <c r="A720" s="2"/>
      <c r="B720" s="1" t="s">
        <v>361</v>
      </c>
      <c r="C720" s="2"/>
      <c r="D720" s="13">
        <v>1</v>
      </c>
      <c r="E720" s="18"/>
      <c r="F720" s="18"/>
      <c r="G720" s="14"/>
      <c r="H720" s="15"/>
      <c r="I720" s="25">
        <f t="shared" ref="I720:I723" si="43">ROUND(PRODUCT(ROUND(PRODUCT(D720,E720,F720), 0),G720,H720), 0)</f>
        <v>1</v>
      </c>
    </row>
    <row r="721" spans="1:9">
      <c r="A721" s="2"/>
      <c r="B721" s="2" t="s">
        <v>360</v>
      </c>
      <c r="C721" s="2"/>
      <c r="D721" s="13">
        <f>D711</f>
        <v>4</v>
      </c>
      <c r="E721" s="18"/>
      <c r="F721" s="18"/>
      <c r="G721" s="14"/>
      <c r="H721" s="15"/>
      <c r="I721" s="25">
        <f t="shared" si="43"/>
        <v>4</v>
      </c>
    </row>
    <row r="722" spans="1:9">
      <c r="A722" s="2"/>
      <c r="B722" s="2"/>
      <c r="C722" s="2"/>
      <c r="D722" s="13"/>
      <c r="E722" s="18"/>
      <c r="F722" s="18"/>
      <c r="G722" s="14"/>
      <c r="H722" s="15"/>
      <c r="I722" s="25">
        <f t="shared" si="43"/>
        <v>0</v>
      </c>
    </row>
    <row r="723" spans="1:9">
      <c r="A723" s="2"/>
      <c r="B723" s="2"/>
      <c r="C723" s="2"/>
      <c r="D723" s="13"/>
      <c r="E723" s="18"/>
      <c r="F723" s="18"/>
      <c r="G723" s="14"/>
      <c r="H723" s="15"/>
      <c r="I723" s="25">
        <f t="shared" si="43"/>
        <v>0</v>
      </c>
    </row>
    <row r="724" spans="1:9">
      <c r="A724" s="2"/>
      <c r="B724" s="2"/>
      <c r="C724" s="2"/>
      <c r="D724" s="16" t="s">
        <v>74</v>
      </c>
      <c r="E724" s="12"/>
      <c r="F724" s="12"/>
      <c r="G724" s="17" t="s">
        <v>75</v>
      </c>
      <c r="H724" s="12" t="s">
        <v>76</v>
      </c>
      <c r="I724" s="31">
        <f>SUM(I719:I723)</f>
        <v>5</v>
      </c>
    </row>
    <row r="727" spans="1:9">
      <c r="A727" s="7" t="s">
        <v>228</v>
      </c>
      <c r="B727" s="19" t="s">
        <v>229</v>
      </c>
      <c r="C727" s="19"/>
      <c r="D727" s="19"/>
      <c r="E727" s="19"/>
      <c r="F727" s="19"/>
      <c r="G727" s="19"/>
      <c r="H727" s="19"/>
      <c r="I727" s="19"/>
    </row>
    <row r="728" spans="1:9">
      <c r="A728" s="2"/>
      <c r="B728" s="9" t="s">
        <v>70</v>
      </c>
      <c r="C728" s="9"/>
      <c r="D728" s="21" t="s">
        <v>73</v>
      </c>
      <c r="E728" s="22"/>
      <c r="F728" s="22"/>
      <c r="G728" s="23" t="s">
        <v>71</v>
      </c>
      <c r="H728" s="24"/>
      <c r="I728" s="22" t="s">
        <v>72</v>
      </c>
    </row>
    <row r="729" spans="1:9">
      <c r="A729" s="2"/>
      <c r="B729" s="2"/>
      <c r="C729" s="2"/>
      <c r="D729" s="13"/>
      <c r="E729" s="18"/>
      <c r="F729" s="18"/>
      <c r="G729" s="14"/>
      <c r="H729" s="15"/>
      <c r="I729" s="25">
        <f>ROUND(PRODUCT(ROUND(PRODUCT(D729,E729,F729), 0),G729,H729), 0)</f>
        <v>0</v>
      </c>
    </row>
    <row r="730" spans="1:9">
      <c r="A730" s="2"/>
      <c r="C730" s="2"/>
      <c r="D730" s="13">
        <v>1</v>
      </c>
      <c r="E730" s="18"/>
      <c r="F730" s="18"/>
      <c r="G730" s="14"/>
      <c r="H730" s="15"/>
      <c r="I730" s="25">
        <f t="shared" ref="I730:I732" si="44">ROUND(PRODUCT(ROUND(PRODUCT(D730,E730,F730), 0),G730,H730), 0)</f>
        <v>1</v>
      </c>
    </row>
    <row r="731" spans="1:9">
      <c r="A731" s="2"/>
      <c r="B731" s="2"/>
      <c r="C731" s="2"/>
      <c r="D731" s="13"/>
      <c r="E731" s="18"/>
      <c r="F731" s="18"/>
      <c r="G731" s="14"/>
      <c r="H731" s="15"/>
      <c r="I731" s="25">
        <f t="shared" si="44"/>
        <v>0</v>
      </c>
    </row>
    <row r="732" spans="1:9">
      <c r="A732" s="2"/>
      <c r="B732" s="2"/>
      <c r="C732" s="2"/>
      <c r="D732" s="13"/>
      <c r="E732" s="18"/>
      <c r="F732" s="18"/>
      <c r="G732" s="14"/>
      <c r="H732" s="15"/>
      <c r="I732" s="25">
        <f t="shared" si="44"/>
        <v>0</v>
      </c>
    </row>
    <row r="733" spans="1:9">
      <c r="A733" s="2"/>
      <c r="B733" s="2"/>
      <c r="C733" s="2"/>
      <c r="D733" s="16" t="s">
        <v>74</v>
      </c>
      <c r="E733" s="12"/>
      <c r="F733" s="12"/>
      <c r="G733" s="17" t="s">
        <v>75</v>
      </c>
      <c r="H733" s="12" t="s">
        <v>76</v>
      </c>
      <c r="I733" s="31">
        <f>SUM(I729:I732)</f>
        <v>1</v>
      </c>
    </row>
    <row r="736" spans="1:9">
      <c r="A736" s="7" t="s">
        <v>230</v>
      </c>
      <c r="B736" s="19" t="s">
        <v>231</v>
      </c>
      <c r="C736" s="19"/>
      <c r="D736" s="19"/>
      <c r="E736" s="19"/>
      <c r="F736" s="19"/>
      <c r="G736" s="19"/>
      <c r="H736" s="19"/>
      <c r="I736" s="19"/>
    </row>
    <row r="737" spans="1:9">
      <c r="A737" s="2"/>
      <c r="B737" s="9" t="s">
        <v>70</v>
      </c>
      <c r="C737" s="9"/>
      <c r="D737" s="21" t="s">
        <v>73</v>
      </c>
      <c r="E737" s="22"/>
      <c r="F737" s="22"/>
      <c r="G737" s="23" t="s">
        <v>71</v>
      </c>
      <c r="H737" s="24"/>
      <c r="I737" s="22" t="s">
        <v>72</v>
      </c>
    </row>
    <row r="738" spans="1:9">
      <c r="A738" s="2"/>
      <c r="B738" s="2"/>
      <c r="C738" s="2"/>
      <c r="D738" s="13"/>
      <c r="E738" s="18"/>
      <c r="F738" s="18"/>
      <c r="G738" s="14"/>
      <c r="H738" s="15"/>
      <c r="I738" s="25">
        <f>ROUND(PRODUCT(ROUND(PRODUCT(D738,E738,F738), 0),G738,H738), 0)</f>
        <v>0</v>
      </c>
    </row>
    <row r="739" spans="1:9">
      <c r="A739" s="2"/>
      <c r="C739" s="2"/>
      <c r="D739" s="13">
        <v>1</v>
      </c>
      <c r="E739" s="18"/>
      <c r="F739" s="18"/>
      <c r="G739" s="14"/>
      <c r="H739" s="15"/>
      <c r="I739" s="25">
        <f t="shared" ref="I739:I742" si="45">ROUND(PRODUCT(ROUND(PRODUCT(D739,E739,F739), 0),G739,H739), 0)</f>
        <v>1</v>
      </c>
    </row>
    <row r="740" spans="1:9">
      <c r="A740" s="2"/>
      <c r="B740" s="2"/>
      <c r="C740" s="2"/>
      <c r="D740" s="13"/>
      <c r="E740" s="18"/>
      <c r="F740" s="18"/>
      <c r="G740" s="14"/>
      <c r="H740" s="15"/>
      <c r="I740" s="25">
        <f t="shared" si="45"/>
        <v>0</v>
      </c>
    </row>
    <row r="741" spans="1:9">
      <c r="A741" s="2"/>
      <c r="B741" s="2"/>
      <c r="C741" s="2"/>
      <c r="D741" s="13"/>
      <c r="E741" s="18"/>
      <c r="F741" s="18"/>
      <c r="G741" s="14"/>
      <c r="H741" s="15"/>
      <c r="I741" s="25">
        <f t="shared" si="45"/>
        <v>0</v>
      </c>
    </row>
    <row r="742" spans="1:9">
      <c r="A742" s="2"/>
      <c r="B742" s="2"/>
      <c r="C742" s="2"/>
      <c r="D742" s="13"/>
      <c r="E742" s="18"/>
      <c r="F742" s="18"/>
      <c r="G742" s="14"/>
      <c r="H742" s="15"/>
      <c r="I742" s="25">
        <f t="shared" si="45"/>
        <v>0</v>
      </c>
    </row>
    <row r="743" spans="1:9">
      <c r="A743" s="2"/>
      <c r="B743" s="2"/>
      <c r="C743" s="2"/>
      <c r="D743" s="16" t="s">
        <v>74</v>
      </c>
      <c r="E743" s="12"/>
      <c r="F743" s="12"/>
      <c r="G743" s="17" t="s">
        <v>75</v>
      </c>
      <c r="H743" s="12" t="s">
        <v>76</v>
      </c>
      <c r="I743" s="31">
        <f>SUM(I738:I742)</f>
        <v>1</v>
      </c>
    </row>
    <row r="746" spans="1:9">
      <c r="A746" s="7" t="s">
        <v>232</v>
      </c>
      <c r="B746" s="19" t="s">
        <v>233</v>
      </c>
      <c r="C746" s="19"/>
      <c r="D746" s="19"/>
      <c r="E746" s="19"/>
      <c r="F746" s="19"/>
      <c r="G746" s="19"/>
      <c r="H746" s="19"/>
      <c r="I746" s="19"/>
    </row>
    <row r="747" spans="1:9">
      <c r="A747" s="2"/>
      <c r="B747" s="9" t="s">
        <v>70</v>
      </c>
      <c r="C747" s="9"/>
      <c r="D747" s="21" t="s">
        <v>73</v>
      </c>
      <c r="E747" s="22"/>
      <c r="F747" s="22"/>
      <c r="G747" s="23" t="s">
        <v>71</v>
      </c>
      <c r="H747" s="24"/>
      <c r="I747" s="22" t="s">
        <v>72</v>
      </c>
    </row>
    <row r="748" spans="1:9">
      <c r="A748" s="2"/>
      <c r="B748" s="2"/>
      <c r="C748" s="2"/>
      <c r="D748" s="13"/>
      <c r="E748" s="18"/>
      <c r="F748" s="18"/>
      <c r="G748" s="14"/>
      <c r="H748" s="15"/>
      <c r="I748" s="25">
        <f>ROUND(PRODUCT(ROUND(PRODUCT(D748,E748,F748), 0),G748,H748), 0)</f>
        <v>0</v>
      </c>
    </row>
    <row r="749" spans="1:9">
      <c r="A749" s="2"/>
      <c r="C749" s="2"/>
      <c r="D749" s="13">
        <v>1</v>
      </c>
      <c r="E749" s="18"/>
      <c r="F749" s="18"/>
      <c r="G749" s="14"/>
      <c r="H749" s="15"/>
      <c r="I749" s="25">
        <f t="shared" ref="I749:I752" si="46">ROUND(PRODUCT(ROUND(PRODUCT(D749,E749,F749), 0),G749,H749), 0)</f>
        <v>1</v>
      </c>
    </row>
    <row r="750" spans="1:9">
      <c r="A750" s="2"/>
      <c r="B750" s="2"/>
      <c r="C750" s="2"/>
      <c r="D750" s="13"/>
      <c r="E750" s="18"/>
      <c r="F750" s="18"/>
      <c r="G750" s="14"/>
      <c r="H750" s="15"/>
      <c r="I750" s="25">
        <f t="shared" si="46"/>
        <v>0</v>
      </c>
    </row>
    <row r="751" spans="1:9">
      <c r="A751" s="2"/>
      <c r="B751" s="2"/>
      <c r="C751" s="2"/>
      <c r="D751" s="13"/>
      <c r="E751" s="18"/>
      <c r="F751" s="18"/>
      <c r="G751" s="14"/>
      <c r="H751" s="15"/>
      <c r="I751" s="25">
        <f t="shared" si="46"/>
        <v>0</v>
      </c>
    </row>
    <row r="752" spans="1:9">
      <c r="A752" s="2"/>
      <c r="B752" s="2"/>
      <c r="C752" s="2"/>
      <c r="D752" s="13"/>
      <c r="E752" s="18"/>
      <c r="F752" s="18"/>
      <c r="G752" s="14"/>
      <c r="H752" s="15"/>
      <c r="I752" s="25">
        <f t="shared" si="46"/>
        <v>0</v>
      </c>
    </row>
    <row r="753" spans="1:9">
      <c r="A753" s="2"/>
      <c r="B753" s="2"/>
      <c r="C753" s="2"/>
      <c r="D753" s="16" t="s">
        <v>74</v>
      </c>
      <c r="E753" s="12"/>
      <c r="F753" s="12"/>
      <c r="G753" s="17" t="s">
        <v>75</v>
      </c>
      <c r="H753" s="12" t="s">
        <v>76</v>
      </c>
      <c r="I753" s="31">
        <f>SUM(I748:I752)</f>
        <v>1</v>
      </c>
    </row>
    <row r="756" spans="1:9">
      <c r="A756" s="7" t="s">
        <v>234</v>
      </c>
      <c r="B756" s="19" t="s">
        <v>235</v>
      </c>
      <c r="C756" s="19"/>
      <c r="D756" s="19"/>
      <c r="E756" s="19"/>
      <c r="F756" s="19"/>
      <c r="G756" s="19"/>
      <c r="H756" s="19"/>
      <c r="I756" s="19"/>
    </row>
    <row r="757" spans="1:9">
      <c r="A757" s="2"/>
      <c r="B757" s="9" t="s">
        <v>70</v>
      </c>
      <c r="C757" s="9"/>
      <c r="D757" s="21" t="s">
        <v>73</v>
      </c>
      <c r="E757" s="22"/>
      <c r="F757" s="22"/>
      <c r="G757" s="23" t="s">
        <v>71</v>
      </c>
      <c r="H757" s="24"/>
      <c r="I757" s="22" t="s">
        <v>72</v>
      </c>
    </row>
    <row r="758" spans="1:9">
      <c r="A758" s="2"/>
      <c r="B758" s="2"/>
      <c r="C758" s="2"/>
      <c r="D758" s="13"/>
      <c r="E758" s="18"/>
      <c r="F758" s="18"/>
      <c r="G758" s="14"/>
      <c r="H758" s="15"/>
      <c r="I758" s="25">
        <f>ROUND(PRODUCT(ROUND(PRODUCT(D758,E758,F758), 0),G758,H758), 0)</f>
        <v>0</v>
      </c>
    </row>
    <row r="759" spans="1:9">
      <c r="A759" s="2"/>
      <c r="B759" s="30" t="s">
        <v>350</v>
      </c>
      <c r="C759" s="2"/>
      <c r="D759" s="13">
        <v>1</v>
      </c>
      <c r="E759" s="18"/>
      <c r="F759" s="18"/>
      <c r="G759" s="14"/>
      <c r="H759" s="15"/>
      <c r="I759" s="25">
        <f t="shared" ref="I759:I762" si="47">ROUND(PRODUCT(ROUND(PRODUCT(D759,E759,F759), 0),G759,H759), 0)</f>
        <v>1</v>
      </c>
    </row>
    <row r="760" spans="1:9">
      <c r="A760" s="2"/>
      <c r="B760" s="2" t="s">
        <v>351</v>
      </c>
      <c r="C760" s="2"/>
      <c r="D760" s="13"/>
      <c r="E760" s="18"/>
      <c r="F760" s="18"/>
      <c r="G760" s="14"/>
      <c r="H760" s="15"/>
      <c r="I760" s="25">
        <f t="shared" si="47"/>
        <v>0</v>
      </c>
    </row>
    <row r="761" spans="1:9">
      <c r="A761" s="2"/>
      <c r="B761" s="2"/>
      <c r="C761" s="2"/>
      <c r="D761" s="13"/>
      <c r="E761" s="18"/>
      <c r="F761" s="18"/>
      <c r="G761" s="14"/>
      <c r="H761" s="15"/>
      <c r="I761" s="25">
        <f t="shared" si="47"/>
        <v>0</v>
      </c>
    </row>
    <row r="762" spans="1:9">
      <c r="A762" s="2"/>
      <c r="B762" s="2"/>
      <c r="C762" s="2"/>
      <c r="D762" s="13"/>
      <c r="E762" s="18"/>
      <c r="F762" s="18"/>
      <c r="G762" s="14"/>
      <c r="H762" s="15"/>
      <c r="I762" s="25">
        <f t="shared" si="47"/>
        <v>0</v>
      </c>
    </row>
    <row r="763" spans="1:9">
      <c r="A763" s="2"/>
      <c r="B763" s="2"/>
      <c r="C763" s="2"/>
      <c r="D763" s="16" t="s">
        <v>74</v>
      </c>
      <c r="E763" s="12"/>
      <c r="F763" s="12"/>
      <c r="G763" s="17" t="s">
        <v>75</v>
      </c>
      <c r="H763" s="12" t="s">
        <v>76</v>
      </c>
      <c r="I763" s="31">
        <f>SUM(I758:I762)</f>
        <v>1</v>
      </c>
    </row>
    <row r="766" spans="1:9">
      <c r="A766" s="7" t="s">
        <v>236</v>
      </c>
      <c r="B766" s="19" t="s">
        <v>237</v>
      </c>
      <c r="C766" s="19"/>
      <c r="D766" s="19"/>
      <c r="E766" s="19"/>
      <c r="F766" s="19"/>
      <c r="G766" s="19"/>
      <c r="H766" s="19"/>
      <c r="I766" s="19"/>
    </row>
    <row r="767" spans="1:9">
      <c r="A767" s="2"/>
      <c r="B767" s="9" t="s">
        <v>70</v>
      </c>
      <c r="C767" s="9"/>
      <c r="D767" s="21" t="s">
        <v>73</v>
      </c>
      <c r="E767" s="22"/>
      <c r="F767" s="22"/>
      <c r="G767" s="23" t="s">
        <v>71</v>
      </c>
      <c r="H767" s="24"/>
      <c r="I767" s="22" t="s">
        <v>72</v>
      </c>
    </row>
    <row r="768" spans="1:9">
      <c r="A768" s="2"/>
      <c r="B768" s="2"/>
      <c r="C768" s="2"/>
      <c r="D768" s="13"/>
      <c r="E768" s="18"/>
      <c r="F768" s="18"/>
      <c r="G768" s="14"/>
      <c r="H768" s="15"/>
      <c r="I768" s="25">
        <f>ROUND(PRODUCT(ROUND(PRODUCT(D768,E768,F768), 0),G768,H768), 0)</f>
        <v>0</v>
      </c>
    </row>
    <row r="769" spans="1:9">
      <c r="A769" s="2"/>
      <c r="B769" s="30" t="s">
        <v>352</v>
      </c>
      <c r="C769" s="2"/>
      <c r="D769" s="13">
        <v>1</v>
      </c>
      <c r="E769" s="18"/>
      <c r="F769" s="18"/>
      <c r="G769" s="14"/>
      <c r="H769" s="15"/>
      <c r="I769" s="25">
        <f t="shared" ref="I769:I772" si="48">ROUND(PRODUCT(ROUND(PRODUCT(D769,E769,F769), 0),G769,H769), 0)</f>
        <v>1</v>
      </c>
    </row>
    <row r="770" spans="1:9">
      <c r="A770" s="2"/>
      <c r="B770" s="2"/>
      <c r="C770" s="2"/>
      <c r="D770" s="13"/>
      <c r="E770" s="18"/>
      <c r="F770" s="18"/>
      <c r="G770" s="14"/>
      <c r="H770" s="15"/>
      <c r="I770" s="25">
        <f t="shared" si="48"/>
        <v>0</v>
      </c>
    </row>
    <row r="771" spans="1:9">
      <c r="A771" s="2"/>
      <c r="B771" s="2"/>
      <c r="C771" s="2"/>
      <c r="D771" s="13"/>
      <c r="E771" s="18"/>
      <c r="F771" s="18"/>
      <c r="G771" s="14"/>
      <c r="H771" s="15"/>
      <c r="I771" s="25">
        <f t="shared" si="48"/>
        <v>0</v>
      </c>
    </row>
    <row r="772" spans="1:9">
      <c r="A772" s="2"/>
      <c r="B772" s="2"/>
      <c r="C772" s="2"/>
      <c r="D772" s="13"/>
      <c r="E772" s="18"/>
      <c r="F772" s="18"/>
      <c r="G772" s="14"/>
      <c r="H772" s="15"/>
      <c r="I772" s="25">
        <f t="shared" si="48"/>
        <v>0</v>
      </c>
    </row>
    <row r="773" spans="1:9">
      <c r="A773" s="2"/>
      <c r="B773" s="2"/>
      <c r="C773" s="2"/>
      <c r="D773" s="16" t="s">
        <v>74</v>
      </c>
      <c r="E773" s="12"/>
      <c r="F773" s="12"/>
      <c r="G773" s="17" t="s">
        <v>75</v>
      </c>
      <c r="H773" s="12" t="s">
        <v>76</v>
      </c>
      <c r="I773" s="31">
        <f>SUM(I768:I772)</f>
        <v>1</v>
      </c>
    </row>
    <row r="776" spans="1:9">
      <c r="A776" s="6" t="s">
        <v>238</v>
      </c>
      <c r="B776" s="19" t="s">
        <v>239</v>
      </c>
      <c r="C776" s="19"/>
      <c r="D776" s="19"/>
      <c r="E776" s="19"/>
      <c r="F776" s="19"/>
      <c r="G776" s="19"/>
      <c r="H776" s="19"/>
      <c r="I776" s="19"/>
    </row>
    <row r="779" spans="1:9">
      <c r="A779" s="7" t="s">
        <v>240</v>
      </c>
      <c r="B779" s="19" t="s">
        <v>241</v>
      </c>
      <c r="C779" s="19"/>
      <c r="D779" s="19"/>
      <c r="E779" s="19"/>
      <c r="F779" s="19"/>
      <c r="G779" s="19"/>
      <c r="H779" s="19"/>
      <c r="I779" s="19"/>
    </row>
    <row r="782" spans="1:9">
      <c r="A782" s="8" t="s">
        <v>324</v>
      </c>
      <c r="B782" s="19" t="s">
        <v>401</v>
      </c>
      <c r="C782" s="19"/>
      <c r="D782" s="19"/>
      <c r="E782" s="19"/>
      <c r="F782" s="19"/>
      <c r="G782" s="19"/>
      <c r="H782" s="19"/>
      <c r="I782" s="19"/>
    </row>
    <row r="783" spans="1:9">
      <c r="A783" s="2"/>
      <c r="B783" s="9" t="s">
        <v>70</v>
      </c>
      <c r="C783" s="9"/>
      <c r="D783" s="21" t="s">
        <v>73</v>
      </c>
      <c r="E783" s="22"/>
      <c r="F783" s="22"/>
      <c r="G783" s="23" t="s">
        <v>71</v>
      </c>
      <c r="H783" s="24"/>
      <c r="I783" s="22" t="s">
        <v>72</v>
      </c>
    </row>
    <row r="784" spans="1:9">
      <c r="A784" s="2"/>
      <c r="B784" s="2"/>
      <c r="C784" s="2"/>
      <c r="D784" s="13"/>
      <c r="E784" s="18"/>
      <c r="F784" s="18"/>
      <c r="G784" s="14"/>
      <c r="H784" s="15"/>
      <c r="I784" s="25">
        <f>ROUND(PRODUCT(ROUND(PRODUCT(D784,E784,F784), 0),G784,H784), 0)</f>
        <v>0</v>
      </c>
    </row>
    <row r="785" spans="1:9">
      <c r="A785" s="2"/>
      <c r="B785" s="33" t="s">
        <v>403</v>
      </c>
      <c r="C785" s="2"/>
      <c r="D785" s="13">
        <v>6</v>
      </c>
      <c r="E785" s="18"/>
      <c r="F785" s="18"/>
      <c r="G785" s="14"/>
      <c r="H785" s="15"/>
      <c r="I785" s="25">
        <f t="shared" ref="I785:I786" si="49">ROUND(PRODUCT(ROUND(PRODUCT(D785,E785,F785), 0),G785,H785), 0)</f>
        <v>6</v>
      </c>
    </row>
    <row r="786" spans="1:9">
      <c r="A786" s="2"/>
      <c r="B786" s="34" t="s">
        <v>404</v>
      </c>
      <c r="C786" s="2"/>
      <c r="D786" s="13">
        <v>9</v>
      </c>
      <c r="E786" s="18"/>
      <c r="F786" s="18"/>
      <c r="G786" s="14"/>
      <c r="H786" s="15"/>
      <c r="I786" s="25">
        <f t="shared" si="49"/>
        <v>9</v>
      </c>
    </row>
    <row r="787" spans="1:9">
      <c r="A787" s="2"/>
      <c r="B787" s="2"/>
      <c r="C787" s="2"/>
      <c r="D787" s="16" t="s">
        <v>74</v>
      </c>
      <c r="E787" s="12"/>
      <c r="F787" s="12"/>
      <c r="G787" s="17" t="s">
        <v>75</v>
      </c>
      <c r="H787" s="12" t="s">
        <v>76</v>
      </c>
      <c r="I787" s="31">
        <f>SUM(I784:I786)</f>
        <v>15</v>
      </c>
    </row>
    <row r="790" spans="1:9">
      <c r="A790" s="8" t="s">
        <v>325</v>
      </c>
      <c r="B790" s="19" t="s">
        <v>402</v>
      </c>
      <c r="C790" s="19"/>
      <c r="D790" s="19"/>
      <c r="E790" s="19"/>
      <c r="F790" s="19"/>
      <c r="G790" s="19"/>
      <c r="H790" s="19"/>
      <c r="I790" s="19"/>
    </row>
    <row r="791" spans="1:9">
      <c r="A791" s="2"/>
      <c r="B791" s="9" t="s">
        <v>70</v>
      </c>
      <c r="C791" s="9"/>
      <c r="D791" s="21" t="s">
        <v>73</v>
      </c>
      <c r="E791" s="22"/>
      <c r="F791" s="22"/>
      <c r="G791" s="23" t="s">
        <v>71</v>
      </c>
      <c r="H791" s="24"/>
      <c r="I791" s="22" t="s">
        <v>72</v>
      </c>
    </row>
    <row r="792" spans="1:9">
      <c r="A792" s="2"/>
      <c r="B792" s="2"/>
      <c r="C792" s="2"/>
      <c r="D792" s="13"/>
      <c r="E792" s="18"/>
      <c r="F792" s="18"/>
      <c r="G792" s="14"/>
      <c r="H792" s="15"/>
      <c r="I792" s="25">
        <f>ROUND(PRODUCT(ROUND(PRODUCT(D792,E792,F792), 0),G792,H792), 0)</f>
        <v>0</v>
      </c>
    </row>
    <row r="793" spans="1:9">
      <c r="A793" s="2"/>
      <c r="B793" s="1" t="s">
        <v>405</v>
      </c>
      <c r="C793" s="2"/>
      <c r="D793" s="13">
        <v>1</v>
      </c>
      <c r="E793" s="18"/>
      <c r="F793" s="18"/>
      <c r="G793" s="14"/>
      <c r="H793" s="15"/>
      <c r="I793" s="25">
        <f t="shared" ref="I793:I796" si="50">ROUND(PRODUCT(ROUND(PRODUCT(D793,E793,F793), 0),G793,H793), 0)</f>
        <v>1</v>
      </c>
    </row>
    <row r="794" spans="1:9">
      <c r="A794" s="2"/>
      <c r="B794" s="2"/>
      <c r="C794" s="2"/>
      <c r="D794" s="13"/>
      <c r="E794" s="18"/>
      <c r="F794" s="18"/>
      <c r="G794" s="14"/>
      <c r="H794" s="15"/>
      <c r="I794" s="25">
        <f t="shared" si="50"/>
        <v>0</v>
      </c>
    </row>
    <row r="795" spans="1:9">
      <c r="A795" s="2"/>
      <c r="B795" s="2"/>
      <c r="C795" s="2"/>
      <c r="D795" s="13"/>
      <c r="E795" s="18"/>
      <c r="F795" s="18"/>
      <c r="G795" s="14"/>
      <c r="H795" s="15"/>
      <c r="I795" s="25">
        <f t="shared" si="50"/>
        <v>0</v>
      </c>
    </row>
    <row r="796" spans="1:9">
      <c r="A796" s="2"/>
      <c r="B796" s="2"/>
      <c r="C796" s="2"/>
      <c r="D796" s="13"/>
      <c r="E796" s="18"/>
      <c r="F796" s="18"/>
      <c r="G796" s="14"/>
      <c r="H796" s="15"/>
      <c r="I796" s="25">
        <f t="shared" si="50"/>
        <v>0</v>
      </c>
    </row>
    <row r="797" spans="1:9">
      <c r="A797" s="2"/>
      <c r="B797" s="2"/>
      <c r="C797" s="2"/>
      <c r="D797" s="16" t="s">
        <v>74</v>
      </c>
      <c r="E797" s="12"/>
      <c r="F797" s="12"/>
      <c r="G797" s="17" t="s">
        <v>90</v>
      </c>
      <c r="H797" s="12" t="s">
        <v>76</v>
      </c>
      <c r="I797" s="31">
        <f>SUM(I792:I796)</f>
        <v>1</v>
      </c>
    </row>
    <row r="800" spans="1:9">
      <c r="A800" s="6" t="s">
        <v>242</v>
      </c>
      <c r="B800" s="19" t="s">
        <v>243</v>
      </c>
      <c r="C800" s="19"/>
      <c r="D800" s="19"/>
      <c r="E800" s="19"/>
      <c r="F800" s="19"/>
      <c r="G800" s="19"/>
      <c r="H800" s="19"/>
      <c r="I800" s="19"/>
    </row>
    <row r="803" spans="1:9">
      <c r="A803" s="7" t="s">
        <v>244</v>
      </c>
      <c r="B803" s="19" t="s">
        <v>489</v>
      </c>
      <c r="C803" s="19"/>
      <c r="D803" s="19"/>
      <c r="E803" s="19"/>
      <c r="F803" s="19"/>
      <c r="G803" s="19"/>
      <c r="H803" s="19"/>
      <c r="I803" s="19"/>
    </row>
    <row r="804" spans="1:9">
      <c r="A804" s="2"/>
      <c r="B804" s="9" t="s">
        <v>70</v>
      </c>
      <c r="C804" s="9"/>
      <c r="D804" s="21" t="s">
        <v>73</v>
      </c>
      <c r="E804" s="22"/>
      <c r="F804" s="22"/>
      <c r="G804" s="23" t="s">
        <v>71</v>
      </c>
      <c r="H804" s="24"/>
      <c r="I804" s="22" t="s">
        <v>72</v>
      </c>
    </row>
    <row r="805" spans="1:9">
      <c r="A805" s="2"/>
      <c r="B805" s="2"/>
      <c r="C805" s="2"/>
      <c r="D805" s="13"/>
      <c r="E805" s="18"/>
      <c r="F805" s="18"/>
      <c r="G805" s="14"/>
      <c r="H805" s="15"/>
      <c r="I805" s="25">
        <f>ROUND(PRODUCT(ROUND(PRODUCT(D805,E805,F805), 0),G805,H805), 0)</f>
        <v>0</v>
      </c>
    </row>
    <row r="806" spans="1:9">
      <c r="A806" s="2"/>
      <c r="B806" s="30" t="s">
        <v>353</v>
      </c>
      <c r="C806" s="2"/>
      <c r="D806" s="13">
        <f>I787</f>
        <v>15</v>
      </c>
      <c r="E806" s="18"/>
      <c r="F806" s="18"/>
      <c r="G806" s="14"/>
      <c r="H806" s="15"/>
      <c r="I806" s="25">
        <f t="shared" ref="I806:I809" si="51">ROUND(PRODUCT(ROUND(PRODUCT(D806,E806,F806), 0),G806,H806), 0)</f>
        <v>15</v>
      </c>
    </row>
    <row r="807" spans="1:9">
      <c r="A807" s="2"/>
      <c r="B807" s="2"/>
      <c r="C807" s="2"/>
      <c r="D807" s="13"/>
      <c r="E807" s="18"/>
      <c r="F807" s="18"/>
      <c r="G807" s="14"/>
      <c r="H807" s="15"/>
      <c r="I807" s="25">
        <f t="shared" si="51"/>
        <v>0</v>
      </c>
    </row>
    <row r="808" spans="1:9">
      <c r="A808" s="2"/>
      <c r="B808" s="2"/>
      <c r="C808" s="2" t="s">
        <v>354</v>
      </c>
      <c r="D808" s="13">
        <f>1+3</f>
        <v>4</v>
      </c>
      <c r="E808" s="18"/>
      <c r="F808" s="18"/>
      <c r="G808" s="14"/>
      <c r="H808" s="15">
        <v>-1</v>
      </c>
      <c r="I808" s="25">
        <f t="shared" si="51"/>
        <v>-4</v>
      </c>
    </row>
    <row r="809" spans="1:9">
      <c r="A809" s="2"/>
      <c r="B809" s="2"/>
      <c r="C809" s="2"/>
      <c r="D809" s="13"/>
      <c r="E809" s="18"/>
      <c r="F809" s="18"/>
      <c r="G809" s="14"/>
      <c r="H809" s="15"/>
      <c r="I809" s="25">
        <f t="shared" si="51"/>
        <v>0</v>
      </c>
    </row>
    <row r="810" spans="1:9">
      <c r="A810" s="2"/>
      <c r="B810" s="2"/>
      <c r="C810" s="2"/>
      <c r="D810" s="16" t="s">
        <v>74</v>
      </c>
      <c r="E810" s="12"/>
      <c r="F810" s="12"/>
      <c r="G810" s="17" t="s">
        <v>75</v>
      </c>
      <c r="H810" s="12" t="s">
        <v>76</v>
      </c>
      <c r="I810" s="31">
        <f>SUM(I805:I809)</f>
        <v>11</v>
      </c>
    </row>
    <row r="813" spans="1:9">
      <c r="A813" s="7" t="s">
        <v>245</v>
      </c>
      <c r="B813" s="19" t="s">
        <v>246</v>
      </c>
      <c r="C813" s="19"/>
      <c r="D813" s="19"/>
      <c r="E813" s="19"/>
      <c r="F813" s="19"/>
      <c r="G813" s="19"/>
      <c r="H813" s="19"/>
      <c r="I813" s="19"/>
    </row>
    <row r="814" spans="1:9">
      <c r="A814" s="2"/>
      <c r="B814" s="9" t="s">
        <v>70</v>
      </c>
      <c r="C814" s="9"/>
      <c r="D814" s="21" t="s">
        <v>73</v>
      </c>
      <c r="E814" s="22"/>
      <c r="F814" s="22"/>
      <c r="G814" s="23" t="s">
        <v>71</v>
      </c>
      <c r="H814" s="24"/>
      <c r="I814" s="22" t="s">
        <v>72</v>
      </c>
    </row>
    <row r="815" spans="1:9">
      <c r="A815" s="2"/>
      <c r="B815" s="2"/>
      <c r="C815" s="2"/>
      <c r="D815" s="13"/>
      <c r="E815" s="18"/>
      <c r="F815" s="18"/>
      <c r="G815" s="14"/>
      <c r="H815" s="15"/>
      <c r="I815" s="25">
        <f>ROUND(PRODUCT(ROUND(PRODUCT(D815,E815,F815), 0),G815,H815), 0)</f>
        <v>0</v>
      </c>
    </row>
    <row r="816" spans="1:9">
      <c r="A816" s="2"/>
      <c r="B816" s="30" t="s">
        <v>406</v>
      </c>
      <c r="C816" s="2"/>
      <c r="D816" s="13">
        <v>1</v>
      </c>
      <c r="E816" s="18"/>
      <c r="F816" s="18"/>
      <c r="G816" s="14"/>
      <c r="H816" s="15"/>
      <c r="I816" s="25">
        <f t="shared" ref="I816:I819" si="52">ROUND(PRODUCT(ROUND(PRODUCT(D816,E816,F816), 0),G816,H816), 0)</f>
        <v>1</v>
      </c>
    </row>
    <row r="817" spans="1:9">
      <c r="A817" s="2"/>
      <c r="B817" s="2" t="s">
        <v>407</v>
      </c>
      <c r="C817" s="2"/>
      <c r="D817" s="13">
        <v>1</v>
      </c>
      <c r="E817" s="18"/>
      <c r="F817" s="18"/>
      <c r="G817" s="14"/>
      <c r="H817" s="15"/>
      <c r="I817" s="25">
        <f t="shared" si="52"/>
        <v>1</v>
      </c>
    </row>
    <row r="818" spans="1:9">
      <c r="A818" s="2"/>
      <c r="B818" s="2"/>
      <c r="C818" s="2"/>
      <c r="D818" s="13"/>
      <c r="E818" s="18"/>
      <c r="F818" s="18"/>
      <c r="G818" s="14"/>
      <c r="H818" s="15"/>
      <c r="I818" s="25">
        <f t="shared" si="52"/>
        <v>0</v>
      </c>
    </row>
    <row r="819" spans="1:9">
      <c r="A819" s="2"/>
      <c r="B819" s="2"/>
      <c r="C819" s="2"/>
      <c r="D819" s="13"/>
      <c r="E819" s="18"/>
      <c r="F819" s="18"/>
      <c r="G819" s="14"/>
      <c r="H819" s="15"/>
      <c r="I819" s="25">
        <f t="shared" si="52"/>
        <v>0</v>
      </c>
    </row>
    <row r="820" spans="1:9">
      <c r="A820" s="2"/>
      <c r="B820" s="2"/>
      <c r="C820" s="2"/>
      <c r="D820" s="16" t="s">
        <v>74</v>
      </c>
      <c r="E820" s="12"/>
      <c r="F820" s="12"/>
      <c r="G820" s="17" t="s">
        <v>75</v>
      </c>
      <c r="H820" s="12" t="s">
        <v>76</v>
      </c>
      <c r="I820" s="31">
        <f>SUM(I815:I819)</f>
        <v>2</v>
      </c>
    </row>
    <row r="823" spans="1:9">
      <c r="A823" s="7" t="s">
        <v>247</v>
      </c>
      <c r="B823" s="19" t="s">
        <v>248</v>
      </c>
      <c r="C823" s="19"/>
      <c r="D823" s="19"/>
      <c r="E823" s="19"/>
      <c r="F823" s="19"/>
      <c r="G823" s="19"/>
      <c r="H823" s="19"/>
      <c r="I823" s="19"/>
    </row>
    <row r="824" spans="1:9">
      <c r="A824" s="2"/>
      <c r="B824" s="9" t="s">
        <v>70</v>
      </c>
      <c r="C824" s="9"/>
      <c r="D824" s="21" t="s">
        <v>73</v>
      </c>
      <c r="E824" s="22"/>
      <c r="F824" s="22"/>
      <c r="G824" s="23" t="s">
        <v>71</v>
      </c>
      <c r="H824" s="24"/>
      <c r="I824" s="22" t="s">
        <v>72</v>
      </c>
    </row>
    <row r="825" spans="1:9">
      <c r="A825" s="2"/>
      <c r="B825" s="2"/>
      <c r="C825" s="2"/>
      <c r="D825" s="13"/>
      <c r="E825" s="18"/>
      <c r="F825" s="18"/>
      <c r="G825" s="14"/>
      <c r="H825" s="15"/>
      <c r="I825" s="25">
        <f>ROUND(PRODUCT(ROUND(PRODUCT(D825,E825,F825), 0),G825,H825), 0)</f>
        <v>0</v>
      </c>
    </row>
    <row r="826" spans="1:9">
      <c r="A826" s="2"/>
      <c r="C826" s="2"/>
      <c r="D826" s="13">
        <v>1</v>
      </c>
      <c r="E826" s="18"/>
      <c r="F826" s="18"/>
      <c r="G826" s="14"/>
      <c r="H826" s="15"/>
      <c r="I826" s="25">
        <f t="shared" ref="I826:I829" si="53">ROUND(PRODUCT(ROUND(PRODUCT(D826,E826,F826), 0),G826,H826), 0)</f>
        <v>1</v>
      </c>
    </row>
    <row r="827" spans="1:9">
      <c r="A827" s="2"/>
      <c r="B827" s="2"/>
      <c r="C827" s="2"/>
      <c r="D827" s="13"/>
      <c r="E827" s="18"/>
      <c r="F827" s="18"/>
      <c r="G827" s="14"/>
      <c r="H827" s="15"/>
      <c r="I827" s="25">
        <f t="shared" si="53"/>
        <v>0</v>
      </c>
    </row>
    <row r="828" spans="1:9">
      <c r="A828" s="2"/>
      <c r="B828" s="2"/>
      <c r="C828" s="2"/>
      <c r="D828" s="13"/>
      <c r="E828" s="18"/>
      <c r="F828" s="18"/>
      <c r="G828" s="14"/>
      <c r="H828" s="15"/>
      <c r="I828" s="25">
        <f t="shared" si="53"/>
        <v>0</v>
      </c>
    </row>
    <row r="829" spans="1:9">
      <c r="A829" s="2"/>
      <c r="B829" s="2"/>
      <c r="C829" s="2"/>
      <c r="D829" s="13"/>
      <c r="E829" s="18"/>
      <c r="F829" s="18"/>
      <c r="G829" s="14"/>
      <c r="H829" s="15"/>
      <c r="I829" s="25">
        <f t="shared" si="53"/>
        <v>0</v>
      </c>
    </row>
    <row r="830" spans="1:9">
      <c r="A830" s="2"/>
      <c r="B830" s="2"/>
      <c r="C830" s="2"/>
      <c r="D830" s="16" t="s">
        <v>74</v>
      </c>
      <c r="E830" s="12"/>
      <c r="F830" s="12"/>
      <c r="G830" s="17" t="s">
        <v>75</v>
      </c>
      <c r="H830" s="12" t="s">
        <v>76</v>
      </c>
      <c r="I830" s="31">
        <f>SUM(I825:I829)</f>
        <v>1</v>
      </c>
    </row>
    <row r="833" spans="1:9">
      <c r="A833" s="6" t="s">
        <v>249</v>
      </c>
      <c r="B833" s="19" t="s">
        <v>250</v>
      </c>
      <c r="C833" s="19"/>
      <c r="D833" s="19"/>
      <c r="E833" s="19"/>
      <c r="F833" s="19"/>
      <c r="G833" s="19"/>
      <c r="H833" s="19"/>
      <c r="I833" s="19"/>
    </row>
    <row r="836" spans="1:9">
      <c r="A836" s="6" t="s">
        <v>251</v>
      </c>
      <c r="B836" s="19" t="s">
        <v>252</v>
      </c>
      <c r="C836" s="19"/>
      <c r="D836" s="19"/>
      <c r="E836" s="19"/>
      <c r="F836" s="19"/>
      <c r="G836" s="19"/>
      <c r="H836" s="19"/>
      <c r="I836" s="19"/>
    </row>
    <row r="839" spans="1:9">
      <c r="A839" s="6" t="s">
        <v>253</v>
      </c>
      <c r="B839" s="19" t="s">
        <v>254</v>
      </c>
      <c r="C839" s="19"/>
      <c r="D839" s="19"/>
      <c r="E839" s="19"/>
      <c r="F839" s="19"/>
      <c r="G839" s="19"/>
      <c r="H839" s="19"/>
      <c r="I839" s="19"/>
    </row>
    <row r="842" spans="1:9">
      <c r="A842" s="7" t="s">
        <v>411</v>
      </c>
      <c r="B842" s="19" t="s">
        <v>412</v>
      </c>
      <c r="C842" s="19"/>
      <c r="D842" s="19"/>
      <c r="E842" s="19"/>
      <c r="F842" s="19"/>
      <c r="G842" s="19"/>
      <c r="H842" s="19"/>
      <c r="I842" s="19"/>
    </row>
    <row r="843" spans="1:9">
      <c r="A843" s="2"/>
      <c r="B843" s="9" t="s">
        <v>70</v>
      </c>
      <c r="C843" s="9"/>
      <c r="D843" s="21" t="s">
        <v>73</v>
      </c>
      <c r="E843" s="22"/>
      <c r="F843" s="22"/>
      <c r="G843" s="23" t="s">
        <v>71</v>
      </c>
      <c r="H843" s="24"/>
      <c r="I843" s="22" t="s">
        <v>72</v>
      </c>
    </row>
    <row r="844" spans="1:9">
      <c r="A844" s="2"/>
      <c r="B844" s="2"/>
      <c r="C844" s="2"/>
      <c r="D844" s="13"/>
      <c r="E844" s="18"/>
      <c r="F844" s="18"/>
      <c r="G844" s="14"/>
      <c r="H844" s="15"/>
      <c r="I844" s="25">
        <f>ROUND(PRODUCT(ROUND(PRODUCT(D844,E844,F844), 0),G844,H844), 0)</f>
        <v>0</v>
      </c>
    </row>
    <row r="845" spans="1:9">
      <c r="A845" s="2"/>
      <c r="C845" s="2"/>
      <c r="D845" s="13">
        <v>1</v>
      </c>
      <c r="E845" s="18"/>
      <c r="F845" s="18"/>
      <c r="G845" s="14"/>
      <c r="H845" s="15"/>
      <c r="I845" s="25">
        <f t="shared" ref="I845:I848" si="54">ROUND(PRODUCT(ROUND(PRODUCT(D845,E845,F845), 0),G845,H845), 0)</f>
        <v>1</v>
      </c>
    </row>
    <row r="846" spans="1:9">
      <c r="A846" s="2"/>
      <c r="B846" s="2"/>
      <c r="C846" s="2"/>
      <c r="D846" s="13"/>
      <c r="E846" s="18"/>
      <c r="F846" s="18"/>
      <c r="G846" s="14"/>
      <c r="H846" s="15"/>
      <c r="I846" s="25">
        <f t="shared" si="54"/>
        <v>0</v>
      </c>
    </row>
    <row r="847" spans="1:9">
      <c r="A847" s="2"/>
      <c r="B847" s="2"/>
      <c r="C847" s="2"/>
      <c r="D847" s="13"/>
      <c r="E847" s="18"/>
      <c r="F847" s="18"/>
      <c r="G847" s="14"/>
      <c r="H847" s="15"/>
      <c r="I847" s="25">
        <f t="shared" si="54"/>
        <v>0</v>
      </c>
    </row>
    <row r="848" spans="1:9">
      <c r="A848" s="2"/>
      <c r="B848" s="2"/>
      <c r="C848" s="2"/>
      <c r="D848" s="13"/>
      <c r="E848" s="18"/>
      <c r="F848" s="18"/>
      <c r="G848" s="14"/>
      <c r="H848" s="15"/>
      <c r="I848" s="25">
        <f t="shared" si="54"/>
        <v>0</v>
      </c>
    </row>
    <row r="849" spans="1:9">
      <c r="A849" s="2"/>
      <c r="B849" s="2"/>
      <c r="C849" s="2"/>
      <c r="D849" s="16" t="s">
        <v>74</v>
      </c>
      <c r="E849" s="12"/>
      <c r="F849" s="12"/>
      <c r="G849" s="17" t="s">
        <v>490</v>
      </c>
      <c r="H849" s="12" t="s">
        <v>76</v>
      </c>
      <c r="I849" s="31">
        <f>SUM(I844:I848)</f>
        <v>1</v>
      </c>
    </row>
    <row r="852" spans="1:9">
      <c r="A852" s="7" t="s">
        <v>410</v>
      </c>
      <c r="B852" s="19" t="s">
        <v>256</v>
      </c>
      <c r="C852" s="19"/>
      <c r="D852" s="19"/>
      <c r="E852" s="19"/>
      <c r="F852" s="19"/>
      <c r="G852" s="19"/>
      <c r="H852" s="19"/>
      <c r="I852" s="19"/>
    </row>
    <row r="853" spans="1:9">
      <c r="A853" s="2"/>
      <c r="B853" s="9" t="s">
        <v>70</v>
      </c>
      <c r="C853" s="9"/>
      <c r="D853" s="21" t="s">
        <v>73</v>
      </c>
      <c r="E853" s="22"/>
      <c r="F853" s="22"/>
      <c r="G853" s="23" t="s">
        <v>71</v>
      </c>
      <c r="H853" s="24"/>
      <c r="I853" s="22" t="s">
        <v>72</v>
      </c>
    </row>
    <row r="854" spans="1:9">
      <c r="A854" s="2"/>
      <c r="B854" s="2"/>
      <c r="C854" s="2"/>
      <c r="D854" s="13"/>
      <c r="E854" s="18"/>
      <c r="F854" s="18"/>
      <c r="G854" s="14"/>
      <c r="H854" s="15"/>
      <c r="I854" s="25">
        <f>ROUND(PRODUCT(ROUND(PRODUCT(D854,E854,F854), 0),G854,H854), 0)</f>
        <v>0</v>
      </c>
    </row>
    <row r="855" spans="1:9">
      <c r="A855" s="2"/>
      <c r="B855" s="1" t="s">
        <v>413</v>
      </c>
      <c r="C855" s="2"/>
      <c r="D855" s="13">
        <v>2</v>
      </c>
      <c r="E855" s="18"/>
      <c r="F855" s="18"/>
      <c r="G855" s="14"/>
      <c r="H855" s="15"/>
      <c r="I855" s="25">
        <f t="shared" ref="I855:I858" si="55">ROUND(PRODUCT(ROUND(PRODUCT(D855,E855,F855), 0),G855,H855), 0)</f>
        <v>2</v>
      </c>
    </row>
    <row r="856" spans="1:9">
      <c r="A856" s="2"/>
      <c r="B856" s="2" t="s">
        <v>414</v>
      </c>
      <c r="C856" s="2"/>
      <c r="D856" s="13">
        <v>1</v>
      </c>
      <c r="E856" s="18"/>
      <c r="F856" s="18"/>
      <c r="G856" s="14"/>
      <c r="H856" s="15"/>
      <c r="I856" s="25">
        <f t="shared" si="55"/>
        <v>1</v>
      </c>
    </row>
    <row r="857" spans="1:9">
      <c r="A857" s="2"/>
      <c r="B857" s="2"/>
      <c r="C857" s="2"/>
      <c r="D857" s="13"/>
      <c r="E857" s="18"/>
      <c r="F857" s="18"/>
      <c r="G857" s="14"/>
      <c r="H857" s="15"/>
      <c r="I857" s="25">
        <f t="shared" si="55"/>
        <v>0</v>
      </c>
    </row>
    <row r="858" spans="1:9">
      <c r="A858" s="2"/>
      <c r="B858" s="2"/>
      <c r="C858" s="2"/>
      <c r="D858" s="13"/>
      <c r="E858" s="18"/>
      <c r="F858" s="18"/>
      <c r="G858" s="14"/>
      <c r="H858" s="15"/>
      <c r="I858" s="25">
        <f t="shared" si="55"/>
        <v>0</v>
      </c>
    </row>
    <row r="859" spans="1:9">
      <c r="A859" s="2"/>
      <c r="B859" s="2"/>
      <c r="C859" s="2"/>
      <c r="D859" s="16" t="s">
        <v>74</v>
      </c>
      <c r="E859" s="12"/>
      <c r="F859" s="12"/>
      <c r="G859" s="17" t="s">
        <v>490</v>
      </c>
      <c r="H859" s="12" t="s">
        <v>76</v>
      </c>
      <c r="I859" s="31">
        <f>SUM(I854:I858)</f>
        <v>3</v>
      </c>
    </row>
    <row r="862" spans="1:9">
      <c r="A862" s="7" t="s">
        <v>255</v>
      </c>
      <c r="B862" s="19" t="s">
        <v>408</v>
      </c>
      <c r="C862" s="19"/>
      <c r="D862" s="19"/>
      <c r="E862" s="19"/>
      <c r="F862" s="19"/>
      <c r="G862" s="19"/>
      <c r="H862" s="19"/>
      <c r="I862" s="19"/>
    </row>
    <row r="863" spans="1:9">
      <c r="A863" s="2"/>
      <c r="B863" s="9" t="s">
        <v>70</v>
      </c>
      <c r="C863" s="9"/>
      <c r="D863" s="21" t="s">
        <v>73</v>
      </c>
      <c r="E863" s="22"/>
      <c r="F863" s="22"/>
      <c r="G863" s="23" t="s">
        <v>71</v>
      </c>
      <c r="H863" s="24"/>
      <c r="I863" s="22" t="s">
        <v>72</v>
      </c>
    </row>
    <row r="864" spans="1:9">
      <c r="A864" s="2"/>
      <c r="B864" s="2"/>
      <c r="C864" s="2"/>
      <c r="D864" s="13"/>
      <c r="E864" s="18"/>
      <c r="F864" s="18"/>
      <c r="G864" s="14"/>
      <c r="H864" s="15"/>
      <c r="I864" s="25">
        <f>ROUND(PRODUCT(ROUND(PRODUCT(D864,E864,F864), 0),G864,H864), 0)</f>
        <v>0</v>
      </c>
    </row>
    <row r="865" spans="1:9">
      <c r="A865" s="2"/>
      <c r="B865" s="1" t="s">
        <v>409</v>
      </c>
      <c r="C865" s="2"/>
      <c r="D865" s="13">
        <v>1</v>
      </c>
      <c r="E865" s="18"/>
      <c r="F865" s="18"/>
      <c r="G865" s="14"/>
      <c r="H865" s="15"/>
      <c r="I865" s="25">
        <f t="shared" ref="I865:I868" si="56">ROUND(PRODUCT(ROUND(PRODUCT(D865,E865,F865), 0),G865,H865), 0)</f>
        <v>1</v>
      </c>
    </row>
    <row r="866" spans="1:9">
      <c r="A866" s="2"/>
      <c r="B866" s="2"/>
      <c r="C866" s="2"/>
      <c r="D866" s="13"/>
      <c r="E866" s="18"/>
      <c r="F866" s="18"/>
      <c r="G866" s="14"/>
      <c r="H866" s="15"/>
      <c r="I866" s="25">
        <f t="shared" si="56"/>
        <v>0</v>
      </c>
    </row>
    <row r="867" spans="1:9">
      <c r="A867" s="2"/>
      <c r="B867" s="2"/>
      <c r="C867" s="2"/>
      <c r="D867" s="13"/>
      <c r="E867" s="18"/>
      <c r="F867" s="18"/>
      <c r="G867" s="14"/>
      <c r="H867" s="15"/>
      <c r="I867" s="25">
        <f t="shared" si="56"/>
        <v>0</v>
      </c>
    </row>
    <row r="868" spans="1:9">
      <c r="A868" s="2"/>
      <c r="B868" s="2"/>
      <c r="C868" s="2"/>
      <c r="D868" s="13"/>
      <c r="E868" s="18"/>
      <c r="F868" s="18"/>
      <c r="G868" s="14"/>
      <c r="H868" s="15"/>
      <c r="I868" s="25">
        <f t="shared" si="56"/>
        <v>0</v>
      </c>
    </row>
    <row r="869" spans="1:9">
      <c r="A869" s="2"/>
      <c r="B869" s="2"/>
      <c r="C869" s="2"/>
      <c r="D869" s="16" t="s">
        <v>74</v>
      </c>
      <c r="E869" s="12"/>
      <c r="F869" s="12"/>
      <c r="G869" s="17" t="s">
        <v>490</v>
      </c>
      <c r="H869" s="12" t="s">
        <v>76</v>
      </c>
      <c r="I869" s="31">
        <f>SUM(I864:I868)</f>
        <v>1</v>
      </c>
    </row>
    <row r="872" spans="1:9">
      <c r="A872" s="6" t="s">
        <v>257</v>
      </c>
      <c r="B872" s="19" t="s">
        <v>258</v>
      </c>
      <c r="C872" s="19"/>
      <c r="D872" s="19"/>
      <c r="E872" s="19"/>
      <c r="F872" s="19"/>
      <c r="G872" s="19"/>
      <c r="H872" s="19"/>
      <c r="I872" s="19"/>
    </row>
    <row r="875" spans="1:9">
      <c r="A875" s="6" t="s">
        <v>259</v>
      </c>
      <c r="B875" s="19" t="s">
        <v>260</v>
      </c>
      <c r="C875" s="19"/>
      <c r="D875" s="19"/>
      <c r="E875" s="19"/>
      <c r="F875" s="19"/>
      <c r="G875" s="19"/>
      <c r="H875" s="19"/>
      <c r="I875" s="19"/>
    </row>
    <row r="878" spans="1:9">
      <c r="A878" s="7" t="s">
        <v>261</v>
      </c>
      <c r="B878" s="19" t="s">
        <v>262</v>
      </c>
      <c r="C878" s="19"/>
      <c r="D878" s="19"/>
      <c r="E878" s="19"/>
      <c r="F878" s="19"/>
      <c r="G878" s="19"/>
      <c r="H878" s="19"/>
      <c r="I878" s="19"/>
    </row>
    <row r="881" spans="1:9">
      <c r="A881" s="8" t="s">
        <v>326</v>
      </c>
      <c r="B881" s="19" t="s">
        <v>327</v>
      </c>
      <c r="C881" s="19"/>
      <c r="D881" s="19"/>
      <c r="E881" s="19"/>
      <c r="F881" s="19"/>
      <c r="G881" s="19"/>
      <c r="H881" s="19"/>
      <c r="I881" s="19"/>
    </row>
    <row r="882" spans="1:9">
      <c r="D882" s="16" t="s">
        <v>74</v>
      </c>
      <c r="E882" s="12"/>
      <c r="F882" s="12"/>
      <c r="G882" s="17"/>
      <c r="H882" s="12" t="s">
        <v>298</v>
      </c>
      <c r="I882" s="11"/>
    </row>
    <row r="885" spans="1:9">
      <c r="A885" s="8" t="s">
        <v>328</v>
      </c>
      <c r="B885" s="19" t="s">
        <v>329</v>
      </c>
      <c r="C885" s="19"/>
      <c r="D885" s="19"/>
      <c r="E885" s="19"/>
      <c r="F885" s="19"/>
      <c r="G885" s="19"/>
      <c r="H885" s="19"/>
      <c r="I885" s="19"/>
    </row>
    <row r="886" spans="1:9">
      <c r="D886" s="16" t="s">
        <v>74</v>
      </c>
      <c r="E886" s="12"/>
      <c r="F886" s="12"/>
      <c r="G886" s="17"/>
      <c r="H886" s="12" t="s">
        <v>298</v>
      </c>
      <c r="I886" s="11"/>
    </row>
    <row r="889" spans="1:9">
      <c r="A889" s="6" t="s">
        <v>263</v>
      </c>
      <c r="B889" s="19" t="s">
        <v>264</v>
      </c>
      <c r="C889" s="19"/>
      <c r="D889" s="19"/>
      <c r="E889" s="19"/>
      <c r="F889" s="19"/>
      <c r="G889" s="19"/>
      <c r="H889" s="19"/>
      <c r="I889" s="19"/>
    </row>
    <row r="892" spans="1:9">
      <c r="A892" s="7" t="s">
        <v>265</v>
      </c>
      <c r="B892" s="19" t="s">
        <v>266</v>
      </c>
      <c r="C892" s="19"/>
      <c r="D892" s="19"/>
      <c r="E892" s="19"/>
      <c r="F892" s="19"/>
      <c r="G892" s="19"/>
      <c r="H892" s="19"/>
      <c r="I892" s="19"/>
    </row>
    <row r="895" spans="1:9">
      <c r="A895" s="7" t="s">
        <v>330</v>
      </c>
      <c r="B895" s="19" t="s">
        <v>492</v>
      </c>
      <c r="C895" s="19"/>
      <c r="D895" s="19"/>
      <c r="E895" s="19"/>
      <c r="F895" s="19"/>
      <c r="G895" s="19"/>
      <c r="H895" s="19"/>
      <c r="I895" s="19"/>
    </row>
    <row r="898" spans="1:9">
      <c r="A898" s="8" t="s">
        <v>332</v>
      </c>
      <c r="B898" s="19" t="s">
        <v>331</v>
      </c>
      <c r="C898" s="19"/>
      <c r="D898" s="19"/>
      <c r="E898" s="19"/>
      <c r="F898" s="19"/>
      <c r="G898" s="19"/>
      <c r="H898" s="19"/>
      <c r="I898" s="19"/>
    </row>
    <row r="899" spans="1:9">
      <c r="A899" s="2"/>
      <c r="B899" s="9" t="s">
        <v>70</v>
      </c>
      <c r="C899" s="9"/>
      <c r="D899" s="21"/>
      <c r="E899" s="22" t="s">
        <v>89</v>
      </c>
      <c r="F899" s="22"/>
      <c r="G899" s="23" t="s">
        <v>71</v>
      </c>
      <c r="H899" s="24"/>
      <c r="I899" s="22" t="s">
        <v>72</v>
      </c>
    </row>
    <row r="900" spans="1:9">
      <c r="A900" s="2"/>
      <c r="B900" s="2"/>
      <c r="C900" s="2"/>
      <c r="D900" s="13"/>
      <c r="E900" s="18">
        <v>5.2</v>
      </c>
      <c r="F900" s="18"/>
      <c r="G900" s="14"/>
      <c r="H900" s="15"/>
      <c r="I900" s="26">
        <f>ROUND(PRODUCT(ROUND(PRODUCT(D900,E900,F900), 2),G900,H900), 2)</f>
        <v>5.2</v>
      </c>
    </row>
    <row r="901" spans="1:9">
      <c r="A901" s="2"/>
      <c r="C901" s="2"/>
      <c r="D901" s="13"/>
      <c r="E901" s="18">
        <v>2.29</v>
      </c>
      <c r="F901" s="18"/>
      <c r="G901" s="14"/>
      <c r="H901" s="15"/>
      <c r="I901" s="26">
        <f t="shared" ref="I901:I902" si="57">ROUND(PRODUCT(ROUND(PRODUCT(D901,E901,F901), 2),G901,H901), 2)</f>
        <v>2.29</v>
      </c>
    </row>
    <row r="902" spans="1:9">
      <c r="A902" s="2"/>
      <c r="B902" s="2"/>
      <c r="C902" s="2"/>
      <c r="D902" s="13"/>
      <c r="E902" s="18"/>
      <c r="F902" s="18"/>
      <c r="G902" s="14"/>
      <c r="H902" s="15"/>
      <c r="I902" s="26">
        <f t="shared" si="57"/>
        <v>0</v>
      </c>
    </row>
    <row r="903" spans="1:9">
      <c r="A903" s="2"/>
      <c r="B903" s="2"/>
      <c r="C903" s="2"/>
      <c r="D903" s="16" t="s">
        <v>74</v>
      </c>
      <c r="E903" s="12"/>
      <c r="F903" s="12"/>
      <c r="G903" s="17" t="s">
        <v>75</v>
      </c>
      <c r="H903" s="12" t="s">
        <v>91</v>
      </c>
      <c r="I903" s="32">
        <f>SUM(I900:I902)</f>
        <v>7.49</v>
      </c>
    </row>
    <row r="906" spans="1:9">
      <c r="A906" s="8" t="s">
        <v>334</v>
      </c>
      <c r="B906" s="19" t="s">
        <v>415</v>
      </c>
      <c r="C906" s="19"/>
      <c r="D906" s="19"/>
      <c r="E906" s="19"/>
      <c r="F906" s="19"/>
      <c r="G906" s="19"/>
      <c r="H906" s="19"/>
      <c r="I906" s="19"/>
    </row>
    <row r="907" spans="1:9">
      <c r="A907" s="2"/>
      <c r="B907" s="9" t="s">
        <v>70</v>
      </c>
      <c r="C907" s="9"/>
      <c r="D907" s="21"/>
      <c r="E907" s="22" t="s">
        <v>89</v>
      </c>
      <c r="F907" s="22"/>
      <c r="G907" s="23" t="s">
        <v>71</v>
      </c>
      <c r="H907" s="24"/>
      <c r="I907" s="22" t="s">
        <v>72</v>
      </c>
    </row>
    <row r="908" spans="1:9">
      <c r="A908" s="2"/>
      <c r="B908" s="2"/>
      <c r="C908" s="2"/>
      <c r="D908" s="13"/>
      <c r="E908" s="18"/>
      <c r="F908" s="18"/>
      <c r="G908" s="14"/>
      <c r="H908" s="15"/>
      <c r="I908" s="26">
        <f>ROUND(PRODUCT(ROUND(PRODUCT(D908,E908,F908), 2),G908,H908), 2)</f>
        <v>0</v>
      </c>
    </row>
    <row r="909" spans="1:9">
      <c r="A909" s="2"/>
      <c r="C909" s="2" t="s">
        <v>434</v>
      </c>
      <c r="D909" s="13"/>
      <c r="E909" s="18">
        <v>3</v>
      </c>
      <c r="F909" s="18"/>
      <c r="G909" s="14"/>
      <c r="H909" s="15">
        <v>1</v>
      </c>
      <c r="I909" s="26">
        <f t="shared" ref="I909:I911" si="58">ROUND(PRODUCT(ROUND(PRODUCT(D909,E909,F909), 2),G909,H909), 2)</f>
        <v>3</v>
      </c>
    </row>
    <row r="910" spans="1:9">
      <c r="A910" s="2"/>
      <c r="B910" s="2"/>
      <c r="C910" s="2"/>
      <c r="D910" s="13"/>
      <c r="E910" s="18"/>
      <c r="F910" s="18"/>
      <c r="G910" s="14"/>
      <c r="H910" s="15"/>
      <c r="I910" s="26">
        <f t="shared" si="58"/>
        <v>0</v>
      </c>
    </row>
    <row r="911" spans="1:9">
      <c r="A911" s="2"/>
      <c r="B911" s="2"/>
      <c r="C911" s="2"/>
      <c r="D911" s="13"/>
      <c r="E911" s="18"/>
      <c r="F911" s="18"/>
      <c r="G911" s="14"/>
      <c r="H911" s="15"/>
      <c r="I911" s="26">
        <f t="shared" si="58"/>
        <v>0</v>
      </c>
    </row>
    <row r="912" spans="1:9">
      <c r="A912" s="2"/>
      <c r="B912" s="2"/>
      <c r="C912" s="2"/>
      <c r="D912" s="16" t="s">
        <v>74</v>
      </c>
      <c r="E912" s="12"/>
      <c r="F912" s="12"/>
      <c r="G912" s="17" t="s">
        <v>75</v>
      </c>
      <c r="H912" s="12" t="s">
        <v>91</v>
      </c>
      <c r="I912" s="32">
        <f>SUM(I908:I911)</f>
        <v>3</v>
      </c>
    </row>
    <row r="915" spans="1:9">
      <c r="A915" s="8" t="s">
        <v>335</v>
      </c>
      <c r="B915" s="19" t="s">
        <v>333</v>
      </c>
      <c r="C915" s="19"/>
      <c r="D915" s="19"/>
      <c r="E915" s="19"/>
      <c r="F915" s="19"/>
      <c r="G915" s="19"/>
      <c r="H915" s="19"/>
      <c r="I915" s="19"/>
    </row>
    <row r="916" spans="1:9">
      <c r="A916" s="2"/>
      <c r="B916" s="9" t="s">
        <v>70</v>
      </c>
      <c r="C916" s="9"/>
      <c r="D916" s="21"/>
      <c r="E916" s="22" t="s">
        <v>89</v>
      </c>
      <c r="F916" s="22"/>
      <c r="G916" s="23" t="s">
        <v>71</v>
      </c>
      <c r="H916" s="24"/>
      <c r="I916" s="22" t="s">
        <v>72</v>
      </c>
    </row>
    <row r="917" spans="1:9">
      <c r="A917" s="2"/>
      <c r="B917" s="2"/>
      <c r="C917" s="2"/>
      <c r="D917" s="13"/>
      <c r="E917" s="18"/>
      <c r="F917" s="18"/>
      <c r="G917" s="14"/>
      <c r="H917" s="15"/>
      <c r="I917" s="26">
        <f>ROUND(PRODUCT(ROUND(PRODUCT(D917,E917,F917), 2),G917,H917), 2)</f>
        <v>0</v>
      </c>
    </row>
    <row r="918" spans="1:9">
      <c r="A918" s="2"/>
      <c r="B918" s="2"/>
      <c r="C918" s="2"/>
      <c r="D918" s="13"/>
      <c r="E918" s="18">
        <v>4</v>
      </c>
      <c r="F918" s="18"/>
      <c r="G918" s="14"/>
      <c r="H918" s="15"/>
      <c r="I918" s="26">
        <f>ROUND(PRODUCT(ROUND(PRODUCT(D918,E918,F918), 2),G918,H918), 2)</f>
        <v>4</v>
      </c>
    </row>
    <row r="919" spans="1:9">
      <c r="A919" s="2"/>
      <c r="B919" s="2"/>
      <c r="C919" s="2"/>
      <c r="D919" s="13"/>
      <c r="E919" s="18"/>
      <c r="F919" s="18"/>
      <c r="G919" s="14"/>
      <c r="H919" s="15"/>
      <c r="I919" s="26">
        <f t="shared" ref="I919" si="59">ROUND(PRODUCT(ROUND(PRODUCT(D919,E919,F919), 2),G919,H919), 2)</f>
        <v>0</v>
      </c>
    </row>
    <row r="920" spans="1:9">
      <c r="A920" s="2"/>
      <c r="B920" s="2"/>
      <c r="C920" s="2"/>
      <c r="D920" s="16" t="s">
        <v>74</v>
      </c>
      <c r="E920" s="12"/>
      <c r="F920" s="12"/>
      <c r="G920" s="17" t="s">
        <v>75</v>
      </c>
      <c r="H920" s="12" t="s">
        <v>91</v>
      </c>
      <c r="I920" s="32">
        <f>SUM(I919:I919)</f>
        <v>0</v>
      </c>
    </row>
    <row r="923" spans="1:9">
      <c r="A923" s="7" t="s">
        <v>267</v>
      </c>
      <c r="B923" s="19" t="s">
        <v>268</v>
      </c>
      <c r="C923" s="19"/>
      <c r="D923" s="19"/>
      <c r="E923" s="19"/>
      <c r="F923" s="19"/>
      <c r="G923" s="19"/>
      <c r="H923" s="19"/>
      <c r="I923" s="19"/>
    </row>
    <row r="924" spans="1:9">
      <c r="A924" s="2"/>
      <c r="B924" s="9" t="s">
        <v>70</v>
      </c>
      <c r="C924" s="9"/>
      <c r="D924" s="21"/>
      <c r="E924" s="22" t="s">
        <v>89</v>
      </c>
      <c r="F924" s="22"/>
      <c r="G924" s="23" t="s">
        <v>71</v>
      </c>
      <c r="H924" s="24"/>
      <c r="I924" s="22" t="s">
        <v>72</v>
      </c>
    </row>
    <row r="925" spans="1:9">
      <c r="A925" s="2"/>
      <c r="B925" s="2"/>
      <c r="C925" s="2"/>
      <c r="D925" s="13"/>
      <c r="E925" s="18"/>
      <c r="F925" s="18"/>
      <c r="G925" s="14"/>
      <c r="H925" s="15"/>
      <c r="I925" s="26">
        <f>ROUND(PRODUCT(ROUND(PRODUCT(D925,E925,F925), 2),G925,H925), 2)</f>
        <v>0</v>
      </c>
    </row>
    <row r="926" spans="1:9">
      <c r="A926" s="2"/>
      <c r="B926" s="1" t="s">
        <v>355</v>
      </c>
      <c r="C926" s="2"/>
      <c r="D926" s="13"/>
      <c r="E926" s="18">
        <v>2</v>
      </c>
      <c r="F926" s="18"/>
      <c r="G926" s="14"/>
      <c r="H926" s="15">
        <v>1</v>
      </c>
      <c r="I926" s="26">
        <f t="shared" ref="I926:I927" si="60">ROUND(PRODUCT(ROUND(PRODUCT(D926,E926,F926), 2),G926,H926), 2)</f>
        <v>2</v>
      </c>
    </row>
    <row r="927" spans="1:9">
      <c r="A927" s="2"/>
      <c r="B927" s="2"/>
      <c r="C927" s="2"/>
      <c r="D927" s="13"/>
      <c r="E927" s="18"/>
      <c r="F927" s="18"/>
      <c r="G927" s="14"/>
      <c r="H927" s="15"/>
      <c r="I927" s="26">
        <f t="shared" si="60"/>
        <v>0</v>
      </c>
    </row>
    <row r="928" spans="1:9">
      <c r="A928" s="2"/>
      <c r="B928" s="2"/>
      <c r="C928" s="2"/>
      <c r="D928" s="16" t="s">
        <v>74</v>
      </c>
      <c r="E928" s="12"/>
      <c r="F928" s="12"/>
      <c r="G928" s="17" t="s">
        <v>75</v>
      </c>
      <c r="H928" s="12" t="s">
        <v>91</v>
      </c>
      <c r="I928" s="32">
        <f>SUM(I925:I927)</f>
        <v>2</v>
      </c>
    </row>
    <row r="931" spans="1:9">
      <c r="A931" s="7" t="s">
        <v>269</v>
      </c>
      <c r="B931" s="19" t="s">
        <v>270</v>
      </c>
      <c r="C931" s="19"/>
      <c r="D931" s="19"/>
      <c r="E931" s="19"/>
      <c r="F931" s="19"/>
      <c r="G931" s="19"/>
      <c r="H931" s="19"/>
      <c r="I931" s="19"/>
    </row>
    <row r="932" spans="1:9">
      <c r="D932" s="16" t="s">
        <v>74</v>
      </c>
      <c r="E932" s="12"/>
      <c r="F932" s="12"/>
      <c r="G932" s="17"/>
      <c r="H932" s="12" t="s">
        <v>297</v>
      </c>
      <c r="I932" s="10"/>
    </row>
    <row r="935" spans="1:9">
      <c r="A935" s="6" t="s">
        <v>271</v>
      </c>
      <c r="B935" s="19" t="s">
        <v>272</v>
      </c>
      <c r="C935" s="19"/>
      <c r="D935" s="19"/>
      <c r="E935" s="19"/>
      <c r="F935" s="19"/>
      <c r="G935" s="19"/>
      <c r="H935" s="19"/>
      <c r="I935" s="19"/>
    </row>
    <row r="938" spans="1:9">
      <c r="A938" s="7" t="s">
        <v>273</v>
      </c>
      <c r="B938" s="19" t="s">
        <v>435</v>
      </c>
      <c r="C938" s="19"/>
      <c r="D938" s="19"/>
      <c r="E938" s="19"/>
      <c r="F938" s="19"/>
      <c r="G938" s="19"/>
      <c r="H938" s="19"/>
      <c r="I938" s="19"/>
    </row>
    <row r="939" spans="1:9">
      <c r="A939" s="2"/>
      <c r="B939" s="9" t="s">
        <v>70</v>
      </c>
      <c r="C939" s="9"/>
      <c r="D939" s="21" t="s">
        <v>73</v>
      </c>
      <c r="E939" s="22"/>
      <c r="F939" s="22"/>
      <c r="G939" s="23" t="s">
        <v>71</v>
      </c>
      <c r="H939" s="24"/>
      <c r="I939" s="22" t="s">
        <v>72</v>
      </c>
    </row>
    <row r="940" spans="1:9">
      <c r="A940" s="2"/>
      <c r="B940" s="2"/>
      <c r="C940" s="2"/>
      <c r="D940" s="13"/>
      <c r="E940" s="18"/>
      <c r="F940" s="18"/>
      <c r="G940" s="14"/>
      <c r="H940" s="15"/>
      <c r="I940" s="25">
        <f>ROUND(PRODUCT(ROUND(PRODUCT(D940,E940,F940), 0),G940,H940), 0)</f>
        <v>0</v>
      </c>
    </row>
    <row r="941" spans="1:9">
      <c r="A941" s="2"/>
      <c r="C941" s="2"/>
      <c r="D941" s="13">
        <v>1</v>
      </c>
      <c r="E941" s="18"/>
      <c r="F941" s="18"/>
      <c r="G941" s="14"/>
      <c r="H941" s="15"/>
      <c r="I941" s="25">
        <f t="shared" ref="I941:I944" si="61">ROUND(PRODUCT(ROUND(PRODUCT(D941,E941,F941), 0),G941,H941), 0)</f>
        <v>1</v>
      </c>
    </row>
    <row r="942" spans="1:9">
      <c r="A942" s="2"/>
      <c r="B942" s="2"/>
      <c r="C942" s="2"/>
      <c r="D942" s="13"/>
      <c r="E942" s="18"/>
      <c r="F942" s="18"/>
      <c r="G942" s="14"/>
      <c r="H942" s="15"/>
      <c r="I942" s="25">
        <f t="shared" si="61"/>
        <v>0</v>
      </c>
    </row>
    <row r="943" spans="1:9">
      <c r="A943" s="2"/>
      <c r="B943" s="2"/>
      <c r="C943" s="2"/>
      <c r="D943" s="13"/>
      <c r="E943" s="18"/>
      <c r="F943" s="18"/>
      <c r="G943" s="14"/>
      <c r="H943" s="15"/>
      <c r="I943" s="25">
        <f t="shared" si="61"/>
        <v>0</v>
      </c>
    </row>
    <row r="944" spans="1:9">
      <c r="A944" s="2"/>
      <c r="B944" s="2"/>
      <c r="C944" s="2"/>
      <c r="D944" s="13"/>
      <c r="E944" s="18"/>
      <c r="F944" s="18"/>
      <c r="G944" s="14"/>
      <c r="H944" s="15"/>
      <c r="I944" s="25">
        <f t="shared" si="61"/>
        <v>0</v>
      </c>
    </row>
    <row r="945" spans="1:9">
      <c r="A945" s="2"/>
      <c r="B945" s="2"/>
      <c r="C945" s="2"/>
      <c r="D945" s="16" t="s">
        <v>74</v>
      </c>
      <c r="E945" s="12"/>
      <c r="F945" s="12"/>
      <c r="G945" s="17" t="s">
        <v>75</v>
      </c>
      <c r="H945" s="12" t="s">
        <v>76</v>
      </c>
      <c r="I945" s="31">
        <f>SUM(I940:I944)</f>
        <v>1</v>
      </c>
    </row>
    <row r="948" spans="1:9">
      <c r="A948" s="6" t="s">
        <v>274</v>
      </c>
      <c r="B948" s="19" t="s">
        <v>275</v>
      </c>
      <c r="C948" s="19"/>
      <c r="D948" s="19"/>
      <c r="E948" s="19"/>
      <c r="F948" s="19"/>
      <c r="G948" s="19"/>
      <c r="H948" s="19"/>
      <c r="I948" s="19"/>
    </row>
    <row r="951" spans="1:9">
      <c r="A951" s="7" t="s">
        <v>276</v>
      </c>
      <c r="B951" s="19" t="s">
        <v>277</v>
      </c>
      <c r="C951" s="19"/>
      <c r="D951" s="19"/>
      <c r="E951" s="19"/>
      <c r="F951" s="19"/>
      <c r="G951" s="19"/>
      <c r="H951" s="19"/>
      <c r="I951" s="19"/>
    </row>
    <row r="952" spans="1:9">
      <c r="A952" s="2"/>
      <c r="B952" s="9" t="s">
        <v>70</v>
      </c>
      <c r="C952" s="9"/>
      <c r="D952" s="21" t="s">
        <v>73</v>
      </c>
      <c r="E952" s="22"/>
      <c r="F952" s="22"/>
      <c r="G952" s="23" t="s">
        <v>71</v>
      </c>
      <c r="H952" s="24"/>
      <c r="I952" s="22" t="s">
        <v>72</v>
      </c>
    </row>
    <row r="953" spans="1:9">
      <c r="A953" s="2"/>
      <c r="B953" s="2"/>
      <c r="C953" s="2"/>
      <c r="D953" s="13"/>
      <c r="E953" s="18"/>
      <c r="F953" s="18"/>
      <c r="G953" s="14"/>
      <c r="H953" s="15"/>
      <c r="I953" s="25">
        <f>ROUND(PRODUCT(ROUND(PRODUCT(D953,E953,F953), 0),G953,H953), 0)</f>
        <v>0</v>
      </c>
    </row>
    <row r="954" spans="1:9">
      <c r="A954" s="2"/>
      <c r="C954" s="2"/>
      <c r="D954" s="13">
        <v>1</v>
      </c>
      <c r="E954" s="18"/>
      <c r="F954" s="18"/>
      <c r="G954" s="14"/>
      <c r="H954" s="15"/>
      <c r="I954" s="25">
        <f t="shared" ref="I954:I957" si="62">ROUND(PRODUCT(ROUND(PRODUCT(D954,E954,F954), 0),G954,H954), 0)</f>
        <v>1</v>
      </c>
    </row>
    <row r="955" spans="1:9">
      <c r="A955" s="2"/>
      <c r="B955" s="2"/>
      <c r="C955" s="2"/>
      <c r="D955" s="13"/>
      <c r="E955" s="18"/>
      <c r="F955" s="18"/>
      <c r="G955" s="14"/>
      <c r="H955" s="15"/>
      <c r="I955" s="25">
        <f t="shared" si="62"/>
        <v>0</v>
      </c>
    </row>
    <row r="956" spans="1:9">
      <c r="A956" s="2"/>
      <c r="B956" s="2"/>
      <c r="C956" s="2"/>
      <c r="D956" s="13"/>
      <c r="E956" s="18"/>
      <c r="F956" s="18"/>
      <c r="G956" s="14"/>
      <c r="H956" s="15"/>
      <c r="I956" s="25">
        <f t="shared" si="62"/>
        <v>0</v>
      </c>
    </row>
    <row r="957" spans="1:9">
      <c r="A957" s="2"/>
      <c r="B957" s="2"/>
      <c r="C957" s="2"/>
      <c r="D957" s="13"/>
      <c r="E957" s="18"/>
      <c r="F957" s="18"/>
      <c r="G957" s="14"/>
      <c r="H957" s="15"/>
      <c r="I957" s="25">
        <f t="shared" si="62"/>
        <v>0</v>
      </c>
    </row>
    <row r="958" spans="1:9">
      <c r="A958" s="2"/>
      <c r="B958" s="2"/>
      <c r="C958" s="2"/>
      <c r="D958" s="16" t="s">
        <v>74</v>
      </c>
      <c r="E958" s="12"/>
      <c r="F958" s="12"/>
      <c r="G958" s="17" t="s">
        <v>75</v>
      </c>
      <c r="H958" s="12" t="s">
        <v>76</v>
      </c>
      <c r="I958" s="31">
        <f>SUM(I953:I957)</f>
        <v>1</v>
      </c>
    </row>
    <row r="961" spans="1:9">
      <c r="A961" s="6" t="s">
        <v>278</v>
      </c>
      <c r="B961" s="19" t="s">
        <v>279</v>
      </c>
      <c r="C961" s="19"/>
      <c r="D961" s="19"/>
      <c r="E961" s="19"/>
      <c r="F961" s="19"/>
      <c r="G961" s="19"/>
      <c r="H961" s="19"/>
      <c r="I961" s="19"/>
    </row>
    <row r="964" spans="1:9">
      <c r="A964" s="7" t="s">
        <v>280</v>
      </c>
      <c r="B964" s="19" t="s">
        <v>281</v>
      </c>
      <c r="C964" s="19"/>
      <c r="D964" s="19"/>
      <c r="E964" s="19"/>
      <c r="F964" s="19"/>
      <c r="G964" s="19"/>
      <c r="H964" s="19"/>
      <c r="I964" s="19"/>
    </row>
    <row r="967" spans="1:9">
      <c r="A967" s="8" t="s">
        <v>336</v>
      </c>
      <c r="B967" s="19" t="s">
        <v>436</v>
      </c>
      <c r="C967" s="19"/>
      <c r="D967" s="19"/>
      <c r="E967" s="19"/>
      <c r="F967" s="19"/>
      <c r="G967" s="19"/>
      <c r="H967" s="19"/>
      <c r="I967" s="19"/>
    </row>
    <row r="968" spans="1:9">
      <c r="A968" s="2"/>
      <c r="B968" s="9" t="s">
        <v>70</v>
      </c>
      <c r="C968" s="9"/>
      <c r="D968" s="21" t="s">
        <v>73</v>
      </c>
      <c r="E968" s="22"/>
      <c r="F968" s="22"/>
      <c r="G968" s="23" t="s">
        <v>71</v>
      </c>
      <c r="H968" s="24"/>
      <c r="I968" s="22" t="s">
        <v>72</v>
      </c>
    </row>
    <row r="969" spans="1:9">
      <c r="A969" s="2"/>
      <c r="B969" s="2"/>
      <c r="C969" s="2"/>
      <c r="D969" s="13"/>
      <c r="E969" s="18"/>
      <c r="F969" s="18"/>
      <c r="G969" s="14"/>
      <c r="H969" s="15"/>
      <c r="I969" s="25">
        <f>ROUND(PRODUCT(ROUND(PRODUCT(D969,E969,F969), 0),G969,H969), 0)</f>
        <v>0</v>
      </c>
    </row>
    <row r="970" spans="1:9">
      <c r="A970" s="2"/>
      <c r="C970" s="2" t="s">
        <v>302</v>
      </c>
      <c r="D970" s="13">
        <v>1</v>
      </c>
      <c r="E970" s="18"/>
      <c r="F970" s="18"/>
      <c r="G970" s="14"/>
      <c r="H970" s="15"/>
      <c r="I970" s="25">
        <f t="shared" ref="I970:I973" si="63">ROUND(PRODUCT(ROUND(PRODUCT(D970,E970,F970), 0),G970,H970), 0)</f>
        <v>1</v>
      </c>
    </row>
    <row r="971" spans="1:9">
      <c r="A971" s="2"/>
      <c r="B971" s="2"/>
      <c r="C971" s="2"/>
      <c r="D971" s="13"/>
      <c r="E971" s="18"/>
      <c r="F971" s="18"/>
      <c r="G971" s="14"/>
      <c r="H971" s="15"/>
      <c r="I971" s="25">
        <f t="shared" si="63"/>
        <v>0</v>
      </c>
    </row>
    <row r="972" spans="1:9">
      <c r="A972" s="2"/>
      <c r="B972" s="2"/>
      <c r="C972" s="2"/>
      <c r="D972" s="13"/>
      <c r="E972" s="18"/>
      <c r="F972" s="18"/>
      <c r="G972" s="14"/>
      <c r="H972" s="15"/>
      <c r="I972" s="25">
        <f t="shared" si="63"/>
        <v>0</v>
      </c>
    </row>
    <row r="973" spans="1:9">
      <c r="A973" s="2"/>
      <c r="B973" s="2"/>
      <c r="C973" s="2"/>
      <c r="D973" s="13"/>
      <c r="E973" s="18"/>
      <c r="F973" s="18"/>
      <c r="G973" s="14"/>
      <c r="H973" s="15"/>
      <c r="I973" s="25">
        <f t="shared" si="63"/>
        <v>0</v>
      </c>
    </row>
    <row r="974" spans="1:9">
      <c r="A974" s="2"/>
      <c r="B974" s="2"/>
      <c r="C974" s="2"/>
      <c r="D974" s="16" t="s">
        <v>74</v>
      </c>
      <c r="E974" s="12"/>
      <c r="F974" s="12"/>
      <c r="G974" s="17" t="s">
        <v>75</v>
      </c>
      <c r="H974" s="12" t="s">
        <v>76</v>
      </c>
      <c r="I974" s="31">
        <f>SUM(I969:I973)</f>
        <v>1</v>
      </c>
    </row>
    <row r="977" spans="1:9">
      <c r="A977" s="8" t="s">
        <v>337</v>
      </c>
      <c r="B977" s="19" t="s">
        <v>436</v>
      </c>
      <c r="C977" s="19"/>
      <c r="D977" s="19"/>
      <c r="E977" s="19"/>
      <c r="F977" s="19"/>
      <c r="G977" s="19"/>
      <c r="H977" s="19"/>
      <c r="I977" s="19"/>
    </row>
    <row r="978" spans="1:9">
      <c r="A978" s="2"/>
      <c r="B978" s="9" t="s">
        <v>70</v>
      </c>
      <c r="C978" s="9"/>
      <c r="D978" s="21" t="s">
        <v>73</v>
      </c>
      <c r="E978" s="22"/>
      <c r="F978" s="22"/>
      <c r="G978" s="23" t="s">
        <v>71</v>
      </c>
      <c r="H978" s="24"/>
      <c r="I978" s="22" t="s">
        <v>72</v>
      </c>
    </row>
    <row r="979" spans="1:9">
      <c r="A979" s="2"/>
      <c r="B979" s="2"/>
      <c r="C979" s="2"/>
      <c r="D979" s="13"/>
      <c r="E979" s="18"/>
      <c r="F979" s="18"/>
      <c r="G979" s="14"/>
      <c r="H979" s="15"/>
      <c r="I979" s="25">
        <f>ROUND(PRODUCT(ROUND(PRODUCT(D979,E979,F979), 0),G979,H979), 0)</f>
        <v>0</v>
      </c>
    </row>
    <row r="980" spans="1:9">
      <c r="A980" s="2"/>
      <c r="C980" s="2" t="s">
        <v>437</v>
      </c>
      <c r="D980" s="13">
        <v>2</v>
      </c>
      <c r="E980" s="18"/>
      <c r="F980" s="18"/>
      <c r="G980" s="14"/>
      <c r="H980" s="15"/>
      <c r="I980" s="25">
        <f t="shared" ref="I980:I983" si="64">ROUND(PRODUCT(ROUND(PRODUCT(D980,E980,F980), 0),G980,H980), 0)</f>
        <v>2</v>
      </c>
    </row>
    <row r="981" spans="1:9">
      <c r="A981" s="2"/>
      <c r="B981" s="2"/>
      <c r="C981" s="2"/>
      <c r="D981" s="13"/>
      <c r="E981" s="18"/>
      <c r="F981" s="18"/>
      <c r="G981" s="14"/>
      <c r="H981" s="15"/>
      <c r="I981" s="25">
        <f t="shared" si="64"/>
        <v>0</v>
      </c>
    </row>
    <row r="982" spans="1:9">
      <c r="A982" s="2"/>
      <c r="B982" s="2"/>
      <c r="C982" s="2"/>
      <c r="D982" s="13"/>
      <c r="E982" s="18"/>
      <c r="F982" s="18"/>
      <c r="G982" s="14"/>
      <c r="H982" s="15"/>
      <c r="I982" s="25">
        <f t="shared" si="64"/>
        <v>0</v>
      </c>
    </row>
    <row r="983" spans="1:9">
      <c r="A983" s="2"/>
      <c r="B983" s="2"/>
      <c r="C983" s="2"/>
      <c r="D983" s="13"/>
      <c r="E983" s="18"/>
      <c r="F983" s="18"/>
      <c r="G983" s="14"/>
      <c r="H983" s="15"/>
      <c r="I983" s="25">
        <f t="shared" si="64"/>
        <v>0</v>
      </c>
    </row>
    <row r="984" spans="1:9">
      <c r="A984" s="2"/>
      <c r="B984" s="2"/>
      <c r="C984" s="2"/>
      <c r="D984" s="16" t="s">
        <v>74</v>
      </c>
      <c r="E984" s="12"/>
      <c r="F984" s="12"/>
      <c r="G984" s="17" t="s">
        <v>75</v>
      </c>
      <c r="H984" s="12" t="s">
        <v>76</v>
      </c>
      <c r="I984" s="31">
        <f>SUM(I979:I983)</f>
        <v>2</v>
      </c>
    </row>
    <row r="987" spans="1:9">
      <c r="A987" s="8" t="s">
        <v>338</v>
      </c>
      <c r="B987" s="19" t="s">
        <v>439</v>
      </c>
      <c r="C987" s="19"/>
      <c r="D987" s="19"/>
      <c r="E987" s="19"/>
      <c r="F987" s="19"/>
      <c r="G987" s="19"/>
      <c r="H987" s="19"/>
      <c r="I987" s="19"/>
    </row>
    <row r="988" spans="1:9">
      <c r="A988" s="2"/>
      <c r="B988" s="9" t="s">
        <v>70</v>
      </c>
      <c r="C988" s="9"/>
      <c r="D988" s="21" t="s">
        <v>73</v>
      </c>
      <c r="E988" s="22"/>
      <c r="F988" s="22"/>
      <c r="G988" s="23" t="s">
        <v>71</v>
      </c>
      <c r="H988" s="24"/>
      <c r="I988" s="22" t="s">
        <v>72</v>
      </c>
    </row>
    <row r="989" spans="1:9">
      <c r="A989" s="2"/>
      <c r="B989" s="2"/>
      <c r="C989" s="2"/>
      <c r="D989" s="13"/>
      <c r="E989" s="18"/>
      <c r="F989" s="18"/>
      <c r="G989" s="14"/>
      <c r="H989" s="15"/>
      <c r="I989" s="25">
        <f>ROUND(PRODUCT(ROUND(PRODUCT(D989,E989,F989), 0),G989,H989), 0)</f>
        <v>0</v>
      </c>
    </row>
    <row r="990" spans="1:9">
      <c r="A990" s="2"/>
      <c r="C990" s="2" t="s">
        <v>438</v>
      </c>
      <c r="D990" s="13">
        <v>1</v>
      </c>
      <c r="E990" s="18"/>
      <c r="F990" s="18"/>
      <c r="G990" s="14"/>
      <c r="H990" s="15"/>
      <c r="I990" s="25">
        <f t="shared" ref="I990:I993" si="65">ROUND(PRODUCT(ROUND(PRODUCT(D990,E990,F990), 0),G990,H990), 0)</f>
        <v>1</v>
      </c>
    </row>
    <row r="991" spans="1:9">
      <c r="A991" s="2"/>
      <c r="B991" s="2"/>
      <c r="C991" s="2"/>
      <c r="D991" s="13"/>
      <c r="E991" s="18"/>
      <c r="F991" s="18"/>
      <c r="G991" s="14"/>
      <c r="H991" s="15"/>
      <c r="I991" s="25">
        <f t="shared" si="65"/>
        <v>0</v>
      </c>
    </row>
    <row r="992" spans="1:9">
      <c r="A992" s="2"/>
      <c r="B992" s="2"/>
      <c r="C992" s="2"/>
      <c r="D992" s="13"/>
      <c r="E992" s="18"/>
      <c r="F992" s="18"/>
      <c r="G992" s="14"/>
      <c r="H992" s="15"/>
      <c r="I992" s="25">
        <f t="shared" si="65"/>
        <v>0</v>
      </c>
    </row>
    <row r="993" spans="1:9">
      <c r="A993" s="2"/>
      <c r="B993" s="2"/>
      <c r="C993" s="2"/>
      <c r="D993" s="13"/>
      <c r="E993" s="18"/>
      <c r="F993" s="18"/>
      <c r="G993" s="14"/>
      <c r="H993" s="15"/>
      <c r="I993" s="25">
        <f t="shared" si="65"/>
        <v>0</v>
      </c>
    </row>
    <row r="994" spans="1:9">
      <c r="A994" s="2"/>
      <c r="B994" s="2"/>
      <c r="C994" s="2"/>
      <c r="D994" s="16" t="s">
        <v>74</v>
      </c>
      <c r="E994" s="12"/>
      <c r="F994" s="12"/>
      <c r="G994" s="17" t="s">
        <v>75</v>
      </c>
      <c r="H994" s="12" t="s">
        <v>76</v>
      </c>
      <c r="I994" s="31">
        <f>SUM(I989:I993)</f>
        <v>1</v>
      </c>
    </row>
    <row r="997" spans="1:9">
      <c r="A997" s="7" t="s">
        <v>379</v>
      </c>
      <c r="B997" s="19" t="s">
        <v>491</v>
      </c>
      <c r="C997" s="19"/>
      <c r="D997" s="19"/>
      <c r="E997" s="19"/>
      <c r="F997" s="19"/>
      <c r="G997" s="19"/>
      <c r="H997" s="19"/>
      <c r="I997" s="19"/>
    </row>
    <row r="1000" spans="1:9">
      <c r="A1000" s="8" t="s">
        <v>380</v>
      </c>
      <c r="B1000" s="19" t="s">
        <v>339</v>
      </c>
      <c r="C1000" s="19"/>
      <c r="D1000" s="19"/>
      <c r="E1000" s="19"/>
      <c r="F1000" s="19"/>
      <c r="G1000" s="19"/>
      <c r="H1000" s="19"/>
      <c r="I1000" s="19"/>
    </row>
    <row r="1001" spans="1:9">
      <c r="A1001" s="2"/>
      <c r="B1001" s="9" t="s">
        <v>70</v>
      </c>
      <c r="C1001" s="9"/>
      <c r="D1001" s="21" t="s">
        <v>73</v>
      </c>
      <c r="E1001" s="22"/>
      <c r="F1001" s="22"/>
      <c r="G1001" s="23" t="s">
        <v>71</v>
      </c>
      <c r="H1001" s="24"/>
      <c r="I1001" s="22" t="s">
        <v>72</v>
      </c>
    </row>
    <row r="1002" spans="1:9">
      <c r="A1002" s="2"/>
      <c r="B1002" s="2"/>
      <c r="C1002" s="2"/>
      <c r="D1002" s="13"/>
      <c r="E1002" s="18"/>
      <c r="F1002" s="18"/>
      <c r="G1002" s="14"/>
      <c r="H1002" s="15"/>
      <c r="I1002" s="25">
        <f>ROUND(PRODUCT(ROUND(PRODUCT(D1002,E1002,F1002), 0),G1002,H1002), 0)</f>
        <v>0</v>
      </c>
    </row>
    <row r="1003" spans="1:9">
      <c r="A1003" s="2"/>
      <c r="B1003" s="1" t="s">
        <v>357</v>
      </c>
      <c r="C1003" s="2"/>
      <c r="D1003" s="13">
        <v>1</v>
      </c>
      <c r="E1003" s="18"/>
      <c r="F1003" s="18"/>
      <c r="G1003" s="14"/>
      <c r="H1003" s="15"/>
      <c r="I1003" s="25">
        <f t="shared" ref="I1003:I1006" si="66">ROUND(PRODUCT(ROUND(PRODUCT(D1003,E1003,F1003), 0),G1003,H1003), 0)</f>
        <v>1</v>
      </c>
    </row>
    <row r="1004" spans="1:9">
      <c r="A1004" s="2"/>
      <c r="B1004" s="2" t="s">
        <v>358</v>
      </c>
      <c r="C1004" s="2"/>
      <c r="D1004" s="13">
        <v>1</v>
      </c>
      <c r="E1004" s="18"/>
      <c r="F1004" s="18"/>
      <c r="G1004" s="14"/>
      <c r="H1004" s="15"/>
      <c r="I1004" s="25">
        <f t="shared" si="66"/>
        <v>1</v>
      </c>
    </row>
    <row r="1005" spans="1:9">
      <c r="A1005" s="2"/>
      <c r="B1005" s="1" t="s">
        <v>356</v>
      </c>
      <c r="C1005" s="2"/>
      <c r="D1005" s="13">
        <v>1</v>
      </c>
      <c r="E1005" s="18"/>
      <c r="F1005" s="18"/>
      <c r="G1005" s="14"/>
      <c r="H1005" s="15"/>
      <c r="I1005" s="25">
        <f t="shared" si="66"/>
        <v>1</v>
      </c>
    </row>
    <row r="1006" spans="1:9">
      <c r="A1006" s="2"/>
      <c r="B1006" s="2" t="s">
        <v>416</v>
      </c>
      <c r="C1006" s="2"/>
      <c r="D1006" s="13">
        <v>1</v>
      </c>
      <c r="E1006" s="18"/>
      <c r="F1006" s="18"/>
      <c r="G1006" s="14"/>
      <c r="H1006" s="15"/>
      <c r="I1006" s="25">
        <f t="shared" si="66"/>
        <v>1</v>
      </c>
    </row>
    <row r="1007" spans="1:9">
      <c r="A1007" s="2"/>
      <c r="B1007" s="2"/>
      <c r="C1007" s="2"/>
      <c r="D1007" s="16" t="s">
        <v>74</v>
      </c>
      <c r="E1007" s="12"/>
      <c r="F1007" s="12"/>
      <c r="G1007" s="17" t="s">
        <v>75</v>
      </c>
      <c r="H1007" s="12" t="s">
        <v>76</v>
      </c>
      <c r="I1007" s="31">
        <f>SUM(I1002:I1006)</f>
        <v>4</v>
      </c>
    </row>
    <row r="1010" spans="1:9">
      <c r="A1010" s="6" t="s">
        <v>282</v>
      </c>
      <c r="B1010" s="19" t="s">
        <v>283</v>
      </c>
      <c r="C1010" s="19"/>
      <c r="D1010" s="19"/>
      <c r="E1010" s="19"/>
      <c r="F1010" s="19"/>
      <c r="G1010" s="19"/>
      <c r="H1010" s="19"/>
      <c r="I1010" s="19"/>
    </row>
    <row r="1013" spans="1:9">
      <c r="A1013" s="6" t="s">
        <v>284</v>
      </c>
      <c r="B1013" s="19" t="s">
        <v>285</v>
      </c>
      <c r="C1013" s="19"/>
      <c r="D1013" s="19"/>
      <c r="E1013" s="19"/>
      <c r="F1013" s="19"/>
      <c r="G1013" s="19"/>
      <c r="H1013" s="19"/>
      <c r="I1013" s="19"/>
    </row>
    <row r="1016" spans="1:9">
      <c r="A1016" s="6" t="s">
        <v>286</v>
      </c>
      <c r="B1016" s="19" t="s">
        <v>287</v>
      </c>
      <c r="C1016" s="19"/>
      <c r="D1016" s="19"/>
      <c r="E1016" s="19"/>
      <c r="F1016" s="19"/>
      <c r="G1016" s="19"/>
      <c r="H1016" s="19"/>
      <c r="I1016" s="19"/>
    </row>
    <row r="1019" spans="1:9">
      <c r="A1019" s="7" t="s">
        <v>288</v>
      </c>
      <c r="B1019" s="19" t="s">
        <v>289</v>
      </c>
      <c r="C1019" s="19"/>
      <c r="D1019" s="19"/>
      <c r="E1019" s="19"/>
      <c r="F1019" s="19"/>
      <c r="G1019" s="19"/>
      <c r="H1019" s="19"/>
      <c r="I1019" s="19"/>
    </row>
    <row r="1022" spans="1:9">
      <c r="A1022" s="8" t="s">
        <v>340</v>
      </c>
      <c r="B1022" s="19" t="s">
        <v>417</v>
      </c>
      <c r="C1022" s="19"/>
      <c r="D1022" s="19"/>
      <c r="E1022" s="19"/>
      <c r="F1022" s="19"/>
      <c r="G1022" s="19"/>
      <c r="H1022" s="19"/>
      <c r="I1022" s="19"/>
    </row>
    <row r="1023" spans="1:9">
      <c r="A1023" s="2"/>
      <c r="B1023" s="9" t="s">
        <v>70</v>
      </c>
      <c r="C1023" s="9"/>
      <c r="D1023" s="21"/>
      <c r="E1023" s="22" t="s">
        <v>89</v>
      </c>
      <c r="F1023" s="22"/>
      <c r="G1023" s="23" t="s">
        <v>71</v>
      </c>
      <c r="H1023" s="24"/>
      <c r="I1023" s="22" t="s">
        <v>72</v>
      </c>
    </row>
    <row r="1024" spans="1:9">
      <c r="A1024" s="2"/>
      <c r="B1024" s="2"/>
      <c r="C1024" s="2"/>
      <c r="D1024" s="13"/>
      <c r="E1024" s="18"/>
      <c r="F1024" s="18"/>
      <c r="G1024" s="14"/>
      <c r="H1024" s="15"/>
      <c r="I1024" s="26">
        <f>ROUND(PRODUCT(ROUND(PRODUCT(D1024,E1024,F1024), 2),G1024,H1024), 2)</f>
        <v>0</v>
      </c>
    </row>
    <row r="1025" spans="1:9">
      <c r="A1025" s="2"/>
      <c r="B1025" s="1" t="s">
        <v>359</v>
      </c>
      <c r="C1025" s="2"/>
      <c r="D1025" s="13"/>
      <c r="E1025" s="18">
        <v>3</v>
      </c>
      <c r="F1025" s="18"/>
      <c r="G1025" s="14"/>
      <c r="H1025" s="15"/>
      <c r="I1025" s="26">
        <f t="shared" ref="I1025:I1028" si="67">ROUND(PRODUCT(ROUND(PRODUCT(D1025,E1025,F1025), 2),G1025,H1025), 2)</f>
        <v>3</v>
      </c>
    </row>
    <row r="1026" spans="1:9">
      <c r="A1026" s="2"/>
      <c r="B1026" s="2"/>
      <c r="C1026" s="2"/>
      <c r="D1026" s="13"/>
      <c r="E1026" s="18"/>
      <c r="F1026" s="18"/>
      <c r="G1026" s="14"/>
      <c r="H1026" s="15"/>
      <c r="I1026" s="26">
        <f t="shared" si="67"/>
        <v>0</v>
      </c>
    </row>
    <row r="1027" spans="1:9">
      <c r="A1027" s="2"/>
      <c r="B1027" s="2"/>
      <c r="C1027" s="2"/>
      <c r="D1027" s="13"/>
      <c r="E1027" s="18"/>
      <c r="F1027" s="18"/>
      <c r="G1027" s="14"/>
      <c r="H1027" s="15"/>
      <c r="I1027" s="26">
        <f t="shared" si="67"/>
        <v>0</v>
      </c>
    </row>
    <row r="1028" spans="1:9">
      <c r="A1028" s="2"/>
      <c r="B1028" s="2"/>
      <c r="C1028" s="2"/>
      <c r="D1028" s="13"/>
      <c r="E1028" s="18"/>
      <c r="F1028" s="18"/>
      <c r="G1028" s="14"/>
      <c r="H1028" s="15"/>
      <c r="I1028" s="26">
        <f t="shared" si="67"/>
        <v>0</v>
      </c>
    </row>
    <row r="1029" spans="1:9">
      <c r="A1029" s="2"/>
      <c r="B1029" s="2"/>
      <c r="C1029" s="2"/>
      <c r="D1029" s="16" t="s">
        <v>74</v>
      </c>
      <c r="E1029" s="12"/>
      <c r="F1029" s="12"/>
      <c r="G1029" s="17" t="s">
        <v>75</v>
      </c>
      <c r="H1029" s="12" t="s">
        <v>91</v>
      </c>
      <c r="I1029" s="32">
        <f>SUM(I1024:I1028)</f>
        <v>3</v>
      </c>
    </row>
    <row r="1032" spans="1:9">
      <c r="A1032" s="6" t="s">
        <v>290</v>
      </c>
      <c r="B1032" s="19" t="s">
        <v>291</v>
      </c>
      <c r="C1032" s="19"/>
      <c r="D1032" s="19"/>
      <c r="E1032" s="19"/>
      <c r="F1032" s="19"/>
      <c r="G1032" s="19"/>
      <c r="H1032" s="19"/>
      <c r="I1032" s="19"/>
    </row>
    <row r="1035" spans="1:9">
      <c r="A1035" s="7" t="s">
        <v>292</v>
      </c>
      <c r="B1035" s="19" t="s">
        <v>293</v>
      </c>
      <c r="C1035" s="19"/>
      <c r="D1035" s="19"/>
      <c r="E1035" s="19"/>
      <c r="F1035" s="19"/>
      <c r="G1035" s="19"/>
      <c r="H1035" s="19"/>
      <c r="I1035" s="19"/>
    </row>
    <row r="1036" spans="1:9">
      <c r="A1036" s="2"/>
      <c r="B1036" s="9" t="s">
        <v>70</v>
      </c>
      <c r="C1036" s="9"/>
      <c r="D1036" s="21" t="s">
        <v>73</v>
      </c>
      <c r="E1036" s="22"/>
      <c r="F1036" s="22"/>
      <c r="G1036" s="23" t="s">
        <v>71</v>
      </c>
      <c r="H1036" s="24"/>
      <c r="I1036" s="22" t="s">
        <v>72</v>
      </c>
    </row>
    <row r="1037" spans="1:9">
      <c r="A1037" s="2"/>
      <c r="B1037" s="2"/>
      <c r="C1037" s="2"/>
      <c r="D1037" s="13"/>
      <c r="E1037" s="18"/>
      <c r="F1037" s="18"/>
      <c r="G1037" s="14"/>
      <c r="H1037" s="15"/>
      <c r="I1037" s="25">
        <f>ROUND(PRODUCT(ROUND(PRODUCT(D1037,E1037,F1037), 0),G1037,H1037), 0)</f>
        <v>0</v>
      </c>
    </row>
    <row r="1038" spans="1:9">
      <c r="A1038" s="2"/>
      <c r="B1038" s="1" t="s">
        <v>418</v>
      </c>
      <c r="C1038" s="35" t="s">
        <v>419</v>
      </c>
      <c r="D1038" s="13">
        <v>1</v>
      </c>
      <c r="E1038" s="18"/>
      <c r="F1038" s="18"/>
      <c r="G1038" s="14"/>
      <c r="H1038" s="15"/>
      <c r="I1038" s="25">
        <f t="shared" ref="I1038:I1041" si="68">ROUND(PRODUCT(ROUND(PRODUCT(D1038,E1038,F1038), 0),G1038,H1038), 0)</f>
        <v>1</v>
      </c>
    </row>
    <row r="1039" spans="1:9">
      <c r="A1039" s="2"/>
      <c r="B1039" s="2"/>
      <c r="C1039" s="2"/>
      <c r="D1039" s="13"/>
      <c r="E1039" s="18"/>
      <c r="F1039" s="18"/>
      <c r="G1039" s="14"/>
      <c r="H1039" s="15"/>
      <c r="I1039" s="25">
        <f t="shared" si="68"/>
        <v>0</v>
      </c>
    </row>
    <row r="1040" spans="1:9">
      <c r="A1040" s="2"/>
      <c r="B1040" s="2"/>
      <c r="C1040" s="2"/>
      <c r="D1040" s="13"/>
      <c r="E1040" s="18"/>
      <c r="F1040" s="18"/>
      <c r="G1040" s="14"/>
      <c r="H1040" s="15"/>
      <c r="I1040" s="25">
        <f t="shared" si="68"/>
        <v>0</v>
      </c>
    </row>
    <row r="1041" spans="1:9">
      <c r="A1041" s="2"/>
      <c r="B1041" s="2"/>
      <c r="C1041" s="2"/>
      <c r="D1041" s="13"/>
      <c r="E1041" s="18"/>
      <c r="F1041" s="18"/>
      <c r="G1041" s="14"/>
      <c r="H1041" s="15"/>
      <c r="I1041" s="25">
        <f t="shared" si="68"/>
        <v>0</v>
      </c>
    </row>
    <row r="1042" spans="1:9">
      <c r="A1042" s="2"/>
      <c r="B1042" s="2"/>
      <c r="C1042" s="2"/>
      <c r="D1042" s="16" t="s">
        <v>74</v>
      </c>
      <c r="E1042" s="12"/>
      <c r="F1042" s="12"/>
      <c r="G1042" s="17" t="s">
        <v>75</v>
      </c>
      <c r="H1042" s="12" t="s">
        <v>76</v>
      </c>
      <c r="I1042" s="31">
        <f>SUM(I1037:I1041)</f>
        <v>1</v>
      </c>
    </row>
  </sheetData>
  <customSheetViews>
    <customSheetView guid="{2C2C9747-B0CA-48E2-A022-EAB318442176}" scale="115" zeroValues="0" hiddenRows="1" hiddenColumns="1" topLeftCell="A2">
      <selection activeCell="B37" sqref="B37"/>
    </customSheetView>
    <customSheetView guid="{A67801EE-16AB-4453-B88D-EB118836BA93}" scale="115" zeroValues="0" hiddenRows="1" hiddenColumns="1" topLeftCell="A2">
      <selection activeCell="B37" sqref="B37"/>
    </customSheetView>
  </customSheetViews>
  <pageMargins left="0.7" right="0.7" top="0.75" bottom="0.75" header="0.3" footer="0.3"/>
  <pageSetup paperSize="9" scale="54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18155-4D07-428C-9F23-A10B6F88CFEC}">
  <dimension ref="A1:AD233"/>
  <sheetViews>
    <sheetView topLeftCell="A2" zoomScaleNormal="100" zoomScaleSheetLayoutView="100" workbookViewId="0">
      <pane xSplit="29" ySplit="7" topLeftCell="AD95" activePane="bottomRight" state="frozen"/>
      <selection activeCell="A2" sqref="A2"/>
      <selection pane="topRight" activeCell="AD2" sqref="AD2"/>
      <selection pane="bottomLeft" activeCell="A7" sqref="A7"/>
      <selection pane="bottomRight" activeCell="C105" sqref="C105"/>
    </sheetView>
  </sheetViews>
  <sheetFormatPr defaultRowHeight="12.75" outlineLevelCol="2"/>
  <cols>
    <col min="1" max="1" width="6.42578125" style="63" customWidth="1"/>
    <col min="2" max="2" width="9.7109375" style="38" customWidth="1"/>
    <col min="3" max="3" width="76.28515625" style="38" bestFit="1" customWidth="1"/>
    <col min="4" max="4" width="10.7109375" style="38" customWidth="1"/>
    <col min="5" max="5" width="8.28515625" style="38" customWidth="1"/>
    <col min="6" max="7" width="9.7109375" style="38" customWidth="1"/>
    <col min="8" max="8" width="11.140625" style="38" customWidth="1"/>
    <col min="9" max="9" width="12.28515625" style="38" customWidth="1"/>
    <col min="10" max="10" width="13.140625" style="38" customWidth="1"/>
    <col min="11" max="12" width="10.7109375" style="38" hidden="1" customWidth="1" outlineLevel="1"/>
    <col min="13" max="17" width="10.7109375" style="38" hidden="1" customWidth="1" outlineLevel="2"/>
    <col min="18" max="18" width="10.7109375" style="38" hidden="1" customWidth="1" outlineLevel="1"/>
    <col min="19" max="23" width="10.7109375" style="38" hidden="1" customWidth="1" outlineLevel="2"/>
    <col min="24" max="24" width="10.7109375" style="38" hidden="1" customWidth="1" outlineLevel="1"/>
    <col min="25" max="27" width="10.7109375" style="38" hidden="1" customWidth="1" outlineLevel="2"/>
    <col min="28" max="28" width="9.5703125" style="38" hidden="1" customWidth="1" outlineLevel="2"/>
    <col min="29" max="29" width="1.140625" style="38" hidden="1" customWidth="1" outlineLevel="2"/>
    <col min="30" max="30" width="9.140625" style="38" collapsed="1"/>
    <col min="31" max="16384" width="9.140625" style="38"/>
  </cols>
  <sheetData>
    <row r="1" spans="1:29" hidden="1">
      <c r="A1" s="36"/>
      <c r="B1" s="37"/>
      <c r="C1" s="37"/>
      <c r="D1" s="37"/>
      <c r="E1" s="37"/>
      <c r="F1" s="37"/>
      <c r="G1" s="37"/>
      <c r="H1" s="37"/>
      <c r="I1" s="37"/>
      <c r="J1" s="37"/>
    </row>
    <row r="2" spans="1:29" s="1" customFormat="1"/>
    <row r="3" spans="1:29" s="1" customFormat="1">
      <c r="A3" s="1" t="s">
        <v>3</v>
      </c>
      <c r="B3" s="27" t="s">
        <v>472</v>
      </c>
      <c r="F3" s="28"/>
    </row>
    <row r="4" spans="1:29" s="1" customFormat="1">
      <c r="A4" s="1" t="s">
        <v>0</v>
      </c>
      <c r="B4" s="28" t="str">
        <f>'Detail Verwarm San Vent'!B4</f>
        <v>Verwarm, Vent &amp; San</v>
      </c>
      <c r="F4" s="28"/>
    </row>
    <row r="5" spans="1:29" s="1" customFormat="1">
      <c r="A5" s="1" t="s">
        <v>1</v>
      </c>
      <c r="B5" s="29" t="s">
        <v>473</v>
      </c>
    </row>
    <row r="6" spans="1:29" s="1" customFormat="1">
      <c r="A6" s="1" t="s">
        <v>2</v>
      </c>
      <c r="B6" s="29" t="s">
        <v>474</v>
      </c>
      <c r="I6" s="4"/>
      <c r="J6" s="4"/>
    </row>
    <row r="7" spans="1:29" s="1" customFormat="1">
      <c r="A7" s="5"/>
      <c r="B7" s="5"/>
      <c r="C7" s="5"/>
      <c r="D7" s="5"/>
      <c r="E7" s="5"/>
      <c r="F7" s="5"/>
      <c r="G7" s="5"/>
      <c r="H7" s="5"/>
      <c r="I7" s="5"/>
      <c r="J7" s="5"/>
    </row>
    <row r="8" spans="1:29" s="51" customFormat="1">
      <c r="A8" s="39" t="s">
        <v>445</v>
      </c>
      <c r="B8" s="40" t="s">
        <v>446</v>
      </c>
      <c r="C8" s="41" t="s">
        <v>70</v>
      </c>
      <c r="D8" s="42" t="s">
        <v>447</v>
      </c>
      <c r="E8" s="42"/>
      <c r="F8" s="40" t="s">
        <v>448</v>
      </c>
      <c r="G8" s="42" t="s">
        <v>449</v>
      </c>
      <c r="H8" s="40" t="s">
        <v>450</v>
      </c>
      <c r="I8" s="43" t="s">
        <v>72</v>
      </c>
      <c r="J8" s="40"/>
      <c r="K8" s="44" t="s">
        <v>451</v>
      </c>
      <c r="L8" s="45" t="s">
        <v>452</v>
      </c>
      <c r="M8" s="45" t="s">
        <v>453</v>
      </c>
      <c r="N8" s="45" t="s">
        <v>454</v>
      </c>
      <c r="O8" s="45" t="s">
        <v>72</v>
      </c>
      <c r="P8" s="45" t="s">
        <v>455</v>
      </c>
      <c r="Q8" s="46" t="s">
        <v>456</v>
      </c>
      <c r="R8" s="47" t="s">
        <v>452</v>
      </c>
      <c r="S8" s="47" t="s">
        <v>453</v>
      </c>
      <c r="T8" s="47" t="s">
        <v>454</v>
      </c>
      <c r="U8" s="47" t="s">
        <v>72</v>
      </c>
      <c r="V8" s="47" t="s">
        <v>455</v>
      </c>
      <c r="W8" s="48" t="s">
        <v>456</v>
      </c>
      <c r="X8" s="49" t="s">
        <v>452</v>
      </c>
      <c r="Y8" s="49" t="s">
        <v>453</v>
      </c>
      <c r="Z8" s="49" t="s">
        <v>454</v>
      </c>
      <c r="AA8" s="49" t="s">
        <v>72</v>
      </c>
      <c r="AB8" s="49" t="s">
        <v>455</v>
      </c>
      <c r="AC8" s="50" t="s">
        <v>456</v>
      </c>
    </row>
    <row r="9" spans="1:29" s="51" customFormat="1">
      <c r="A9" s="52"/>
      <c r="B9" s="53" t="s">
        <v>460</v>
      </c>
      <c r="C9" s="54"/>
      <c r="D9" s="55"/>
      <c r="E9" s="54"/>
      <c r="F9" s="54"/>
      <c r="G9" s="54"/>
      <c r="H9" s="56"/>
      <c r="I9" s="56"/>
      <c r="J9" s="57"/>
      <c r="K9" s="58"/>
      <c r="L9" s="59"/>
      <c r="M9" s="54"/>
      <c r="N9" s="60"/>
      <c r="O9" s="56">
        <f t="shared" ref="O9:O72" si="0">IF(MID($D9,3,1)="-","*********",ROUND(IF(NOT(ISNUMBER($G9)),IF(NOT(ISNUMBER($F9)),1,$F9),$G9)*(IF(NOT(ISNUMBER(N9)),L9,N9)),2))</f>
        <v>0</v>
      </c>
      <c r="P9" s="61" t="str">
        <f t="shared" ref="P9:P40" si="1">IF(O$228=0,"",O9/O$228)</f>
        <v/>
      </c>
      <c r="Q9" s="62" t="str">
        <f t="shared" ref="Q9:Q72" si="2">IF($K9=0,"",IF(NOT(ISNUMBER(N9)),L9,N9)/$K9-1)</f>
        <v/>
      </c>
      <c r="R9" s="59"/>
      <c r="S9" s="54"/>
      <c r="T9" s="60"/>
      <c r="U9" s="56">
        <f t="shared" ref="U9:U72" si="3">IF(MID($D9,3,1)="-","*********",ROUND(IF(NOT(ISNUMBER($G9)),IF(NOT(ISNUMBER($F9)),1,$F9),$G9)*(IF(NOT(ISNUMBER(T9)),R9,T9)),2))</f>
        <v>0</v>
      </c>
      <c r="V9" s="61" t="str">
        <f t="shared" ref="V9:V40" si="4">IF(U$228=0,"",U9/U$228)</f>
        <v/>
      </c>
      <c r="W9" s="62" t="str">
        <f t="shared" ref="W9:W72" si="5">IF($K9=0,"",IF(NOT(ISNUMBER(T9)),R9,T9)/$K9-1)</f>
        <v/>
      </c>
      <c r="X9" s="59"/>
      <c r="Y9" s="54"/>
      <c r="Z9" s="60"/>
      <c r="AA9" s="56">
        <f t="shared" ref="AA9:AA72" si="6">IF(MID($D9,3,1)="-","*********",ROUND(IF(NOT(ISNUMBER($G9)),IF(NOT(ISNUMBER($F9)),1,$F9),$G9)*(IF(NOT(ISNUMBER(Z9)),X9,Z9)),2))</f>
        <v>0</v>
      </c>
      <c r="AB9" s="61" t="str">
        <f t="shared" ref="AB9:AB40" si="7">IF(AA$228=0,"",AA9/AA$228)</f>
        <v/>
      </c>
      <c r="AC9" s="62" t="str">
        <f t="shared" ref="AC9:AC72" si="8">IF($K9=0,"",IF(NOT(ISNUMBER(Z9)),X9,Z9)/$K9-1)</f>
        <v/>
      </c>
    </row>
    <row r="10" spans="1:29">
      <c r="B10" s="64" t="str">
        <f>[1]!ArticleCode('Detail Verwarm San Vent'!Art_00.)</f>
        <v>00.</v>
      </c>
      <c r="C10" s="65" t="str">
        <f>[1]!ArticleDescription('Detail Verwarm San Vent'!Art_00.)</f>
        <v>ALGEMENE BEPALINGEN</v>
      </c>
      <c r="D10" s="54"/>
      <c r="E10" s="54"/>
      <c r="F10" s="54"/>
      <c r="G10" s="54"/>
      <c r="H10" s="56"/>
      <c r="I10" s="56"/>
      <c r="J10" s="57"/>
      <c r="K10" s="58"/>
      <c r="L10" s="59"/>
      <c r="M10" s="54"/>
      <c r="N10" s="60"/>
      <c r="O10" s="56">
        <f t="shared" si="0"/>
        <v>0</v>
      </c>
      <c r="P10" s="61" t="str">
        <f t="shared" si="1"/>
        <v/>
      </c>
      <c r="Q10" s="62" t="str">
        <f t="shared" si="2"/>
        <v/>
      </c>
      <c r="R10" s="59"/>
      <c r="S10" s="54"/>
      <c r="T10" s="60"/>
      <c r="U10" s="56">
        <f t="shared" si="3"/>
        <v>0</v>
      </c>
      <c r="V10" s="61" t="str">
        <f t="shared" si="4"/>
        <v/>
      </c>
      <c r="W10" s="62" t="str">
        <f t="shared" si="5"/>
        <v/>
      </c>
      <c r="X10" s="59"/>
      <c r="Y10" s="54"/>
      <c r="Z10" s="60"/>
      <c r="AA10" s="56">
        <f t="shared" si="6"/>
        <v>0</v>
      </c>
      <c r="AB10" s="61" t="str">
        <f t="shared" si="7"/>
        <v/>
      </c>
      <c r="AC10" s="62" t="str">
        <f t="shared" si="8"/>
        <v/>
      </c>
    </row>
    <row r="11" spans="1:29">
      <c r="B11" s="64" t="str">
        <f>[1]!ArticleCode('Detail Verwarm San Vent'!Art_00.10.)</f>
        <v>00.10.</v>
      </c>
      <c r="C11" s="65" t="str">
        <f>[1]!ArticleDescription('Detail Verwarm San Vent'!Art_00.10.)</f>
        <v>projectgegevens</v>
      </c>
      <c r="D11" s="54"/>
      <c r="E11" s="54"/>
      <c r="F11" s="54"/>
      <c r="G11" s="54"/>
      <c r="H11" s="56"/>
      <c r="I11" s="56"/>
      <c r="J11" s="57"/>
      <c r="K11" s="58"/>
      <c r="L11" s="59"/>
      <c r="M11" s="54"/>
      <c r="N11" s="60"/>
      <c r="O11" s="56">
        <f t="shared" si="0"/>
        <v>0</v>
      </c>
      <c r="P11" s="61" t="str">
        <f t="shared" si="1"/>
        <v/>
      </c>
      <c r="Q11" s="62" t="str">
        <f t="shared" si="2"/>
        <v/>
      </c>
      <c r="R11" s="59"/>
      <c r="S11" s="54"/>
      <c r="T11" s="60"/>
      <c r="U11" s="56">
        <f t="shared" si="3"/>
        <v>0</v>
      </c>
      <c r="V11" s="61" t="str">
        <f t="shared" si="4"/>
        <v/>
      </c>
      <c r="W11" s="62" t="str">
        <f t="shared" si="5"/>
        <v/>
      </c>
      <c r="X11" s="59"/>
      <c r="Y11" s="54"/>
      <c r="Z11" s="60"/>
      <c r="AA11" s="56">
        <f t="shared" si="6"/>
        <v>0</v>
      </c>
      <c r="AB11" s="61" t="str">
        <f t="shared" si="7"/>
        <v/>
      </c>
      <c r="AC11" s="62" t="str">
        <f t="shared" si="8"/>
        <v/>
      </c>
    </row>
    <row r="12" spans="1:29">
      <c r="B12" s="64" t="str">
        <f>[1]!ArticleCode('Detail Verwarm San Vent'!Art_00.20.)</f>
        <v>00.20.</v>
      </c>
      <c r="C12" s="65" t="str">
        <f>[1]!ArticleDescription('Detail Verwarm San Vent'!Art_00.20.)</f>
        <v>ontwerpteam</v>
      </c>
      <c r="D12" s="54"/>
      <c r="E12" s="54"/>
      <c r="F12" s="54"/>
      <c r="G12" s="54"/>
      <c r="H12" s="56"/>
      <c r="I12" s="56"/>
      <c r="J12" s="57"/>
      <c r="K12" s="58"/>
      <c r="L12" s="59"/>
      <c r="M12" s="54"/>
      <c r="N12" s="60"/>
      <c r="O12" s="56">
        <f t="shared" si="0"/>
        <v>0</v>
      </c>
      <c r="P12" s="61" t="str">
        <f t="shared" si="1"/>
        <v/>
      </c>
      <c r="Q12" s="62" t="str">
        <f t="shared" si="2"/>
        <v/>
      </c>
      <c r="R12" s="59"/>
      <c r="S12" s="54"/>
      <c r="T12" s="60"/>
      <c r="U12" s="56">
        <f t="shared" si="3"/>
        <v>0</v>
      </c>
      <c r="V12" s="61" t="str">
        <f t="shared" si="4"/>
        <v/>
      </c>
      <c r="W12" s="62" t="str">
        <f t="shared" si="5"/>
        <v/>
      </c>
      <c r="X12" s="59"/>
      <c r="Y12" s="54"/>
      <c r="Z12" s="60"/>
      <c r="AA12" s="56">
        <f t="shared" si="6"/>
        <v>0</v>
      </c>
      <c r="AB12" s="61" t="str">
        <f t="shared" si="7"/>
        <v/>
      </c>
      <c r="AC12" s="62" t="str">
        <f t="shared" si="8"/>
        <v/>
      </c>
    </row>
    <row r="13" spans="1:29">
      <c r="B13" s="64" t="str">
        <f>[1]!ArticleCode('Detail Verwarm San Vent'!Art_00.21.)</f>
        <v>00.21.</v>
      </c>
      <c r="C13" s="65" t="str">
        <f>[1]!ArticleDescription('Detail Verwarm San Vent'!Art_00.21.)</f>
        <v>ontwerper</v>
      </c>
      <c r="D13" s="54"/>
      <c r="E13" s="54"/>
      <c r="F13" s="54"/>
      <c r="G13" s="54"/>
      <c r="H13" s="56"/>
      <c r="I13" s="56"/>
      <c r="J13" s="57"/>
      <c r="K13" s="58"/>
      <c r="L13" s="59"/>
      <c r="M13" s="54"/>
      <c r="N13" s="60"/>
      <c r="O13" s="56">
        <f t="shared" si="0"/>
        <v>0</v>
      </c>
      <c r="P13" s="61" t="str">
        <f t="shared" si="1"/>
        <v/>
      </c>
      <c r="Q13" s="62" t="str">
        <f t="shared" si="2"/>
        <v/>
      </c>
      <c r="R13" s="59"/>
      <c r="S13" s="54"/>
      <c r="T13" s="60"/>
      <c r="U13" s="56">
        <f t="shared" si="3"/>
        <v>0</v>
      </c>
      <c r="V13" s="61" t="str">
        <f t="shared" si="4"/>
        <v/>
      </c>
      <c r="W13" s="62" t="str">
        <f t="shared" si="5"/>
        <v/>
      </c>
      <c r="X13" s="59"/>
      <c r="Y13" s="54"/>
      <c r="Z13" s="60"/>
      <c r="AA13" s="56">
        <f t="shared" si="6"/>
        <v>0</v>
      </c>
      <c r="AB13" s="61" t="str">
        <f t="shared" si="7"/>
        <v/>
      </c>
      <c r="AC13" s="62" t="str">
        <f t="shared" si="8"/>
        <v/>
      </c>
    </row>
    <row r="14" spans="1:29">
      <c r="B14" s="64" t="str">
        <f>[1]!ArticleCode('Detail Verwarm San Vent'!Art_00.24.)</f>
        <v>00.24.</v>
      </c>
      <c r="C14" s="65" t="str">
        <f>[1]!ArticleDescription('Detail Verwarm San Vent'!Art_00.24.)</f>
        <v>ontwerpteam - veiligheidscoördinatie</v>
      </c>
      <c r="D14" s="54"/>
      <c r="E14" s="54"/>
      <c r="F14" s="54"/>
      <c r="G14" s="54"/>
      <c r="H14" s="56"/>
      <c r="I14" s="56"/>
      <c r="J14" s="57"/>
      <c r="K14" s="58"/>
      <c r="L14" s="59"/>
      <c r="M14" s="54"/>
      <c r="N14" s="60"/>
      <c r="O14" s="56">
        <f t="shared" si="0"/>
        <v>0</v>
      </c>
      <c r="P14" s="61" t="str">
        <f t="shared" si="1"/>
        <v/>
      </c>
      <c r="Q14" s="62" t="str">
        <f t="shared" si="2"/>
        <v/>
      </c>
      <c r="R14" s="59"/>
      <c r="S14" s="54"/>
      <c r="T14" s="60"/>
      <c r="U14" s="56">
        <f t="shared" si="3"/>
        <v>0</v>
      </c>
      <c r="V14" s="61" t="str">
        <f t="shared" si="4"/>
        <v/>
      </c>
      <c r="W14" s="62" t="str">
        <f t="shared" si="5"/>
        <v/>
      </c>
      <c r="X14" s="59"/>
      <c r="Y14" s="54"/>
      <c r="Z14" s="60"/>
      <c r="AA14" s="56">
        <f t="shared" si="6"/>
        <v>0</v>
      </c>
      <c r="AB14" s="61" t="str">
        <f t="shared" si="7"/>
        <v/>
      </c>
      <c r="AC14" s="62" t="str">
        <f t="shared" si="8"/>
        <v/>
      </c>
    </row>
    <row r="15" spans="1:29">
      <c r="B15" s="64" t="str">
        <f>[1]!ArticleCode('Detail Verwarm San Vent'!Art_00.25.)</f>
        <v>00.25.</v>
      </c>
      <c r="C15" s="65" t="str">
        <f>[1]!ArticleDescription('Detail Verwarm San Vent'!Art_00.25.)</f>
        <v>ontwerpteam – EPB verslaggeving</v>
      </c>
      <c r="D15" s="54"/>
      <c r="E15" s="54"/>
      <c r="F15" s="54"/>
      <c r="G15" s="54"/>
      <c r="H15" s="56"/>
      <c r="I15" s="56"/>
      <c r="J15" s="57"/>
      <c r="K15" s="58"/>
      <c r="L15" s="59"/>
      <c r="M15" s="54"/>
      <c r="N15" s="60"/>
      <c r="O15" s="56">
        <f t="shared" si="0"/>
        <v>0</v>
      </c>
      <c r="P15" s="61" t="str">
        <f t="shared" si="1"/>
        <v/>
      </c>
      <c r="Q15" s="62" t="str">
        <f t="shared" si="2"/>
        <v/>
      </c>
      <c r="R15" s="59"/>
      <c r="S15" s="54"/>
      <c r="T15" s="60"/>
      <c r="U15" s="56">
        <f t="shared" si="3"/>
        <v>0</v>
      </c>
      <c r="V15" s="61" t="str">
        <f t="shared" si="4"/>
        <v/>
      </c>
      <c r="W15" s="62" t="str">
        <f t="shared" si="5"/>
        <v/>
      </c>
      <c r="X15" s="59"/>
      <c r="Y15" s="54"/>
      <c r="Z15" s="60"/>
      <c r="AA15" s="56">
        <f t="shared" si="6"/>
        <v>0</v>
      </c>
      <c r="AB15" s="61" t="str">
        <f t="shared" si="7"/>
        <v/>
      </c>
      <c r="AC15" s="62" t="str">
        <f t="shared" si="8"/>
        <v/>
      </c>
    </row>
    <row r="16" spans="1:29">
      <c r="B16" s="64" t="str">
        <f>[1]!ArticleCode('Detail Verwarm San Vent'!Art_00.30.)</f>
        <v>00.30.</v>
      </c>
      <c r="C16" s="65" t="str">
        <f>[1]!ArticleDescription('Detail Verwarm San Vent'!Art_00.30.)</f>
        <v>documenten</v>
      </c>
      <c r="D16" s="54"/>
      <c r="E16" s="54"/>
      <c r="F16" s="54"/>
      <c r="G16" s="54"/>
      <c r="H16" s="56"/>
      <c r="I16" s="56"/>
      <c r="J16" s="57"/>
      <c r="K16" s="58"/>
      <c r="L16" s="59"/>
      <c r="M16" s="54"/>
      <c r="N16" s="60"/>
      <c r="O16" s="56">
        <f t="shared" si="0"/>
        <v>0</v>
      </c>
      <c r="P16" s="61" t="str">
        <f t="shared" si="1"/>
        <v/>
      </c>
      <c r="Q16" s="62" t="str">
        <f t="shared" si="2"/>
        <v/>
      </c>
      <c r="R16" s="59"/>
      <c r="S16" s="54"/>
      <c r="T16" s="60"/>
      <c r="U16" s="56">
        <f t="shared" si="3"/>
        <v>0</v>
      </c>
      <c r="V16" s="61" t="str">
        <f t="shared" si="4"/>
        <v/>
      </c>
      <c r="W16" s="62" t="str">
        <f t="shared" si="5"/>
        <v/>
      </c>
      <c r="X16" s="59"/>
      <c r="Y16" s="54"/>
      <c r="Z16" s="60"/>
      <c r="AA16" s="56">
        <f t="shared" si="6"/>
        <v>0</v>
      </c>
      <c r="AB16" s="61" t="str">
        <f t="shared" si="7"/>
        <v/>
      </c>
      <c r="AC16" s="62" t="str">
        <f t="shared" si="8"/>
        <v/>
      </c>
    </row>
    <row r="17" spans="1:29">
      <c r="B17" s="64" t="str">
        <f>[1]!ArticleCode('Detail Verwarm San Vent'!Art_00.31.)</f>
        <v>00.31.</v>
      </c>
      <c r="C17" s="65" t="str">
        <f>[1]!ArticleDescription('Detail Verwarm San Vent'!Art_00.31.)</f>
        <v>documenten - architectuur</v>
      </c>
      <c r="D17" s="54"/>
      <c r="E17" s="54"/>
      <c r="F17" s="54"/>
      <c r="G17" s="54"/>
      <c r="H17" s="56"/>
      <c r="I17" s="56"/>
      <c r="J17" s="57"/>
      <c r="K17" s="58"/>
      <c r="L17" s="59"/>
      <c r="M17" s="54"/>
      <c r="N17" s="60"/>
      <c r="O17" s="56">
        <f t="shared" si="0"/>
        <v>0</v>
      </c>
      <c r="P17" s="61" t="str">
        <f t="shared" si="1"/>
        <v/>
      </c>
      <c r="Q17" s="62" t="str">
        <f t="shared" si="2"/>
        <v/>
      </c>
      <c r="R17" s="59"/>
      <c r="S17" s="54"/>
      <c r="T17" s="60"/>
      <c r="U17" s="56">
        <f t="shared" si="3"/>
        <v>0</v>
      </c>
      <c r="V17" s="61" t="str">
        <f t="shared" si="4"/>
        <v/>
      </c>
      <c r="W17" s="62" t="str">
        <f t="shared" si="5"/>
        <v/>
      </c>
      <c r="X17" s="59"/>
      <c r="Y17" s="54"/>
      <c r="Z17" s="60"/>
      <c r="AA17" s="56">
        <f t="shared" si="6"/>
        <v>0</v>
      </c>
      <c r="AB17" s="61" t="str">
        <f t="shared" si="7"/>
        <v/>
      </c>
      <c r="AC17" s="62" t="str">
        <f t="shared" si="8"/>
        <v/>
      </c>
    </row>
    <row r="18" spans="1:29">
      <c r="B18" s="64" t="str">
        <f>[1]!ArticleCode('Detail Verwarm San Vent'!Art_00.32.)</f>
        <v>00.32.</v>
      </c>
      <c r="C18" s="65" t="str">
        <f>[1]!ArticleDescription('Detail Verwarm San Vent'!Art_00.32.)</f>
        <v>documenten - stabiliteit</v>
      </c>
      <c r="D18" s="54"/>
      <c r="E18" s="54"/>
      <c r="F18" s="54"/>
      <c r="G18" s="54"/>
      <c r="H18" s="56"/>
      <c r="I18" s="56"/>
      <c r="J18" s="57"/>
      <c r="K18" s="58"/>
      <c r="L18" s="59"/>
      <c r="M18" s="54"/>
      <c r="N18" s="60"/>
      <c r="O18" s="56">
        <f t="shared" si="0"/>
        <v>0</v>
      </c>
      <c r="P18" s="61" t="str">
        <f t="shared" si="1"/>
        <v/>
      </c>
      <c r="Q18" s="62" t="str">
        <f t="shared" si="2"/>
        <v/>
      </c>
      <c r="R18" s="59"/>
      <c r="S18" s="54"/>
      <c r="T18" s="60"/>
      <c r="U18" s="56">
        <f t="shared" si="3"/>
        <v>0</v>
      </c>
      <c r="V18" s="61" t="str">
        <f t="shared" si="4"/>
        <v/>
      </c>
      <c r="W18" s="62" t="str">
        <f t="shared" si="5"/>
        <v/>
      </c>
      <c r="X18" s="59"/>
      <c r="Y18" s="54"/>
      <c r="Z18" s="60"/>
      <c r="AA18" s="56">
        <f t="shared" si="6"/>
        <v>0</v>
      </c>
      <c r="AB18" s="61" t="str">
        <f t="shared" si="7"/>
        <v/>
      </c>
      <c r="AC18" s="62" t="str">
        <f t="shared" si="8"/>
        <v/>
      </c>
    </row>
    <row r="19" spans="1:29">
      <c r="B19" s="64" t="str">
        <f>[1]!ArticleCode('Detail Verwarm San Vent'!Art_00.33.)</f>
        <v>00.33.</v>
      </c>
      <c r="C19" s="65" t="str">
        <f>[1]!ArticleDescription('Detail Verwarm San Vent'!Art_00.33.)</f>
        <v>documenten - technieken</v>
      </c>
      <c r="D19" s="54"/>
      <c r="E19" s="54"/>
      <c r="F19" s="54"/>
      <c r="G19" s="54"/>
      <c r="H19" s="56"/>
      <c r="I19" s="56"/>
      <c r="J19" s="57"/>
      <c r="K19" s="58"/>
      <c r="L19" s="59"/>
      <c r="M19" s="54"/>
      <c r="N19" s="60"/>
      <c r="O19" s="56">
        <f t="shared" si="0"/>
        <v>0</v>
      </c>
      <c r="P19" s="61" t="str">
        <f t="shared" si="1"/>
        <v/>
      </c>
      <c r="Q19" s="62" t="str">
        <f t="shared" si="2"/>
        <v/>
      </c>
      <c r="R19" s="59"/>
      <c r="S19" s="54"/>
      <c r="T19" s="60"/>
      <c r="U19" s="56">
        <f t="shared" si="3"/>
        <v>0</v>
      </c>
      <c r="V19" s="61" t="str">
        <f t="shared" si="4"/>
        <v/>
      </c>
      <c r="W19" s="62" t="str">
        <f t="shared" si="5"/>
        <v/>
      </c>
      <c r="X19" s="59"/>
      <c r="Y19" s="54"/>
      <c r="Z19" s="60"/>
      <c r="AA19" s="56">
        <f t="shared" si="6"/>
        <v>0</v>
      </c>
      <c r="AB19" s="61" t="str">
        <f t="shared" si="7"/>
        <v/>
      </c>
      <c r="AC19" s="62" t="str">
        <f t="shared" si="8"/>
        <v/>
      </c>
    </row>
    <row r="20" spans="1:29">
      <c r="B20" s="64" t="str">
        <f>[1]!ArticleCode('Detail Verwarm San Vent'!Art_00.34.)</f>
        <v>00.34.</v>
      </c>
      <c r="C20" s="65" t="str">
        <f>[1]!ArticleDescription('Detail Verwarm San Vent'!Art_00.34.)</f>
        <v>documenten - veiligheidsoördinatie</v>
      </c>
      <c r="D20" s="54"/>
      <c r="E20" s="54"/>
      <c r="F20" s="54"/>
      <c r="G20" s="54"/>
      <c r="H20" s="56"/>
      <c r="I20" s="56"/>
      <c r="J20" s="57"/>
      <c r="K20" s="58"/>
      <c r="L20" s="59"/>
      <c r="M20" s="54"/>
      <c r="N20" s="60"/>
      <c r="O20" s="56">
        <f t="shared" si="0"/>
        <v>0</v>
      </c>
      <c r="P20" s="61" t="str">
        <f t="shared" si="1"/>
        <v/>
      </c>
      <c r="Q20" s="62" t="str">
        <f t="shared" si="2"/>
        <v/>
      </c>
      <c r="R20" s="59"/>
      <c r="S20" s="54"/>
      <c r="T20" s="60"/>
      <c r="U20" s="56">
        <f t="shared" si="3"/>
        <v>0</v>
      </c>
      <c r="V20" s="61" t="str">
        <f t="shared" si="4"/>
        <v/>
      </c>
      <c r="W20" s="62" t="str">
        <f t="shared" si="5"/>
        <v/>
      </c>
      <c r="X20" s="59"/>
      <c r="Y20" s="54"/>
      <c r="Z20" s="60"/>
      <c r="AA20" s="56">
        <f t="shared" si="6"/>
        <v>0</v>
      </c>
      <c r="AB20" s="61" t="str">
        <f t="shared" si="7"/>
        <v/>
      </c>
      <c r="AC20" s="62" t="str">
        <f t="shared" si="8"/>
        <v/>
      </c>
    </row>
    <row r="21" spans="1:29">
      <c r="B21" s="64" t="str">
        <f>[1]!ArticleCode('Detail Verwarm San Vent'!Art_00.35.)</f>
        <v>00.35.</v>
      </c>
      <c r="C21" s="65" t="str">
        <f>[1]!ArticleDescription('Detail Verwarm San Vent'!Art_00.35.)</f>
        <v>documenten – EPB verslaggeving</v>
      </c>
      <c r="D21" s="54"/>
      <c r="E21" s="54"/>
      <c r="F21" s="54"/>
      <c r="G21" s="54"/>
      <c r="H21" s="56"/>
      <c r="I21" s="56"/>
      <c r="J21" s="57"/>
      <c r="K21" s="58"/>
      <c r="L21" s="59"/>
      <c r="M21" s="54"/>
      <c r="N21" s="60"/>
      <c r="O21" s="56">
        <f t="shared" si="0"/>
        <v>0</v>
      </c>
      <c r="P21" s="61" t="str">
        <f t="shared" si="1"/>
        <v/>
      </c>
      <c r="Q21" s="62" t="str">
        <f t="shared" si="2"/>
        <v/>
      </c>
      <c r="R21" s="59"/>
      <c r="S21" s="54"/>
      <c r="T21" s="60"/>
      <c r="U21" s="56">
        <f t="shared" si="3"/>
        <v>0</v>
      </c>
      <c r="V21" s="61" t="str">
        <f t="shared" si="4"/>
        <v/>
      </c>
      <c r="W21" s="62" t="str">
        <f t="shared" si="5"/>
        <v/>
      </c>
      <c r="X21" s="59"/>
      <c r="Y21" s="54"/>
      <c r="Z21" s="60"/>
      <c r="AA21" s="56">
        <f t="shared" si="6"/>
        <v>0</v>
      </c>
      <c r="AB21" s="61" t="str">
        <f t="shared" si="7"/>
        <v/>
      </c>
      <c r="AC21" s="62" t="str">
        <f t="shared" si="8"/>
        <v/>
      </c>
    </row>
    <row r="22" spans="1:29">
      <c r="B22" s="66"/>
      <c r="C22" s="67"/>
      <c r="D22" s="68"/>
      <c r="E22" s="67"/>
      <c r="F22" s="67"/>
      <c r="G22" s="67"/>
      <c r="H22" s="69"/>
      <c r="I22" s="69"/>
      <c r="J22" s="70">
        <f>SUBTOTAL(9,I10:I21)</f>
        <v>0</v>
      </c>
      <c r="K22" s="58"/>
      <c r="L22" s="59"/>
      <c r="M22" s="54"/>
      <c r="N22" s="60"/>
      <c r="O22" s="56">
        <f t="shared" si="0"/>
        <v>0</v>
      </c>
      <c r="P22" s="61" t="str">
        <f t="shared" si="1"/>
        <v/>
      </c>
      <c r="Q22" s="62" t="str">
        <f t="shared" si="2"/>
        <v/>
      </c>
      <c r="R22" s="59"/>
      <c r="S22" s="54"/>
      <c r="T22" s="60"/>
      <c r="U22" s="56">
        <f t="shared" si="3"/>
        <v>0</v>
      </c>
      <c r="V22" s="61" t="str">
        <f t="shared" si="4"/>
        <v/>
      </c>
      <c r="W22" s="62" t="str">
        <f t="shared" si="5"/>
        <v/>
      </c>
      <c r="X22" s="59"/>
      <c r="Y22" s="54"/>
      <c r="Z22" s="60"/>
      <c r="AA22" s="56">
        <f t="shared" si="6"/>
        <v>0</v>
      </c>
      <c r="AB22" s="61" t="str">
        <f t="shared" si="7"/>
        <v/>
      </c>
      <c r="AC22" s="62" t="str">
        <f t="shared" si="8"/>
        <v/>
      </c>
    </row>
    <row r="23" spans="1:29">
      <c r="B23" s="71"/>
      <c r="C23" s="54"/>
      <c r="D23" s="54"/>
      <c r="E23" s="54"/>
      <c r="F23" s="54"/>
      <c r="G23" s="54"/>
      <c r="H23" s="56"/>
      <c r="I23" s="56"/>
      <c r="J23" s="57"/>
      <c r="K23" s="58"/>
      <c r="L23" s="59"/>
      <c r="M23" s="54"/>
      <c r="N23" s="60"/>
      <c r="O23" s="56">
        <f t="shared" si="0"/>
        <v>0</v>
      </c>
      <c r="P23" s="61" t="str">
        <f t="shared" si="1"/>
        <v/>
      </c>
      <c r="Q23" s="62" t="str">
        <f t="shared" si="2"/>
        <v/>
      </c>
      <c r="R23" s="59"/>
      <c r="S23" s="54"/>
      <c r="T23" s="60"/>
      <c r="U23" s="56">
        <f t="shared" si="3"/>
        <v>0</v>
      </c>
      <c r="V23" s="61" t="str">
        <f t="shared" si="4"/>
        <v/>
      </c>
      <c r="W23" s="62" t="str">
        <f t="shared" si="5"/>
        <v/>
      </c>
      <c r="X23" s="59"/>
      <c r="Y23" s="54"/>
      <c r="Z23" s="60"/>
      <c r="AA23" s="56">
        <f t="shared" si="6"/>
        <v>0</v>
      </c>
      <c r="AB23" s="61" t="str">
        <f t="shared" si="7"/>
        <v/>
      </c>
      <c r="AC23" s="62" t="str">
        <f t="shared" si="8"/>
        <v/>
      </c>
    </row>
    <row r="24" spans="1:29">
      <c r="B24" s="53" t="s">
        <v>461</v>
      </c>
      <c r="C24" s="54"/>
      <c r="D24" s="55"/>
      <c r="E24" s="54"/>
      <c r="F24" s="54"/>
      <c r="G24" s="54"/>
      <c r="H24" s="56"/>
      <c r="I24" s="56"/>
      <c r="J24" s="57"/>
      <c r="K24" s="58"/>
      <c r="L24" s="59"/>
      <c r="M24" s="54"/>
      <c r="N24" s="60"/>
      <c r="O24" s="56">
        <f t="shared" si="0"/>
        <v>0</v>
      </c>
      <c r="P24" s="61" t="str">
        <f t="shared" si="1"/>
        <v/>
      </c>
      <c r="Q24" s="62" t="str">
        <f t="shared" si="2"/>
        <v/>
      </c>
      <c r="R24" s="59"/>
      <c r="S24" s="54"/>
      <c r="T24" s="60"/>
      <c r="U24" s="56">
        <f t="shared" si="3"/>
        <v>0</v>
      </c>
      <c r="V24" s="61" t="str">
        <f t="shared" si="4"/>
        <v/>
      </c>
      <c r="W24" s="62" t="str">
        <f t="shared" si="5"/>
        <v/>
      </c>
      <c r="X24" s="59"/>
      <c r="Y24" s="54"/>
      <c r="Z24" s="60"/>
      <c r="AA24" s="56">
        <f t="shared" si="6"/>
        <v>0</v>
      </c>
      <c r="AB24" s="61" t="str">
        <f t="shared" si="7"/>
        <v/>
      </c>
      <c r="AC24" s="62" t="str">
        <f t="shared" si="8"/>
        <v/>
      </c>
    </row>
    <row r="25" spans="1:29">
      <c r="B25" s="64" t="str">
        <f>[1]!ArticleCode('Detail Verwarm San Vent'!Art_01.)</f>
        <v>01.</v>
      </c>
      <c r="C25" s="65" t="str">
        <f>[1]!ArticleDescription('Detail Verwarm San Vent'!Art_01.)</f>
        <v>AANNEMINGSMODALITEITEN</v>
      </c>
      <c r="D25" s="54"/>
      <c r="E25" s="54"/>
      <c r="F25" s="54"/>
      <c r="G25" s="54"/>
      <c r="H25" s="56"/>
      <c r="I25" s="56"/>
      <c r="J25" s="57"/>
      <c r="K25" s="58"/>
      <c r="L25" s="59"/>
      <c r="M25" s="54"/>
      <c r="N25" s="60"/>
      <c r="O25" s="56">
        <f t="shared" si="0"/>
        <v>0</v>
      </c>
      <c r="P25" s="61" t="str">
        <f t="shared" si="1"/>
        <v/>
      </c>
      <c r="Q25" s="62" t="str">
        <f t="shared" si="2"/>
        <v/>
      </c>
      <c r="R25" s="59"/>
      <c r="S25" s="54"/>
      <c r="T25" s="60"/>
      <c r="U25" s="56">
        <f t="shared" si="3"/>
        <v>0</v>
      </c>
      <c r="V25" s="61" t="str">
        <f t="shared" si="4"/>
        <v/>
      </c>
      <c r="W25" s="62" t="str">
        <f t="shared" si="5"/>
        <v/>
      </c>
      <c r="X25" s="59"/>
      <c r="Y25" s="54"/>
      <c r="Z25" s="60"/>
      <c r="AA25" s="56">
        <f t="shared" si="6"/>
        <v>0</v>
      </c>
      <c r="AB25" s="61" t="str">
        <f t="shared" si="7"/>
        <v/>
      </c>
      <c r="AC25" s="62" t="str">
        <f t="shared" si="8"/>
        <v/>
      </c>
    </row>
    <row r="26" spans="1:29">
      <c r="B26" s="64" t="str">
        <f>[1]!ArticleCode('Detail Verwarm San Vent'!Art_01.00.)</f>
        <v>01.00.</v>
      </c>
      <c r="C26" s="65" t="str">
        <f>[1]!ArticleDescription('Detail Verwarm San Vent'!Art_01.00.)</f>
        <v>aannemingsmodaliteiten - algemeen</v>
      </c>
      <c r="D26" s="54"/>
      <c r="E26" s="54"/>
      <c r="F26" s="54"/>
      <c r="G26" s="54"/>
      <c r="H26" s="56"/>
      <c r="I26" s="56"/>
      <c r="J26" s="57"/>
      <c r="K26" s="58"/>
      <c r="L26" s="59"/>
      <c r="M26" s="54"/>
      <c r="N26" s="60"/>
      <c r="O26" s="56">
        <f t="shared" si="0"/>
        <v>0</v>
      </c>
      <c r="P26" s="61" t="str">
        <f t="shared" si="1"/>
        <v/>
      </c>
      <c r="Q26" s="62" t="str">
        <f t="shared" si="2"/>
        <v/>
      </c>
      <c r="R26" s="59"/>
      <c r="S26" s="54"/>
      <c r="T26" s="60"/>
      <c r="U26" s="56">
        <f t="shared" si="3"/>
        <v>0</v>
      </c>
      <c r="V26" s="61" t="str">
        <f t="shared" si="4"/>
        <v/>
      </c>
      <c r="W26" s="62" t="str">
        <f t="shared" si="5"/>
        <v/>
      </c>
      <c r="X26" s="59"/>
      <c r="Y26" s="54"/>
      <c r="Z26" s="60"/>
      <c r="AA26" s="56">
        <f t="shared" si="6"/>
        <v>0</v>
      </c>
      <c r="AB26" s="61" t="str">
        <f t="shared" si="7"/>
        <v/>
      </c>
      <c r="AC26" s="62" t="str">
        <f t="shared" si="8"/>
        <v/>
      </c>
    </row>
    <row r="27" spans="1:29">
      <c r="A27" s="63">
        <v>1</v>
      </c>
      <c r="B27" s="64" t="str">
        <f>[1]!ArticleCode('Detail Verwarm San Vent'!Art_01.01.)</f>
        <v>01.01.</v>
      </c>
      <c r="C27" s="65" t="str">
        <f>[1]!ArticleDescription('Detail Verwarm San Vent'!Art_01.01.)</f>
        <v xml:space="preserve">aannemingsmodaliteiten – bestek </v>
      </c>
      <c r="D27" s="54" t="str">
        <f>[1]!ArticleMeasureType('Detail Verwarm San Vent'!Art_01.01.)</f>
        <v/>
      </c>
      <c r="E27" s="54" t="str">
        <f>[1]!ArticleMeasureUnit('Detail Verwarm San Vent'!Art_01.01.)</f>
        <v>PM</v>
      </c>
      <c r="F27" s="72" t="str">
        <f>[1]!ArticleQuantity('Detail Verwarm San Vent'!Art_01.01.)</f>
        <v/>
      </c>
      <c r="G27" s="54"/>
      <c r="H27" s="56"/>
      <c r="I27" s="56">
        <f t="shared" ref="I27:I34" si="9">IF(RIGHT($D27,1)="-","************",ROUND(IF(NOT(ISNUMBER(G27)),IF(NOT(ISNUMBER(F27)),1,F27),G27)*H27,2))</f>
        <v>0</v>
      </c>
      <c r="J27" s="57"/>
      <c r="K27" s="58"/>
      <c r="L27" s="59"/>
      <c r="M27" s="54"/>
      <c r="N27" s="60"/>
      <c r="O27" s="56">
        <f t="shared" si="0"/>
        <v>0</v>
      </c>
      <c r="P27" s="61" t="str">
        <f t="shared" si="1"/>
        <v/>
      </c>
      <c r="Q27" s="62" t="str">
        <f t="shared" si="2"/>
        <v/>
      </c>
      <c r="R27" s="59"/>
      <c r="S27" s="54"/>
      <c r="T27" s="60"/>
      <c r="U27" s="56">
        <f t="shared" si="3"/>
        <v>0</v>
      </c>
      <c r="V27" s="61" t="str">
        <f t="shared" si="4"/>
        <v/>
      </c>
      <c r="W27" s="62" t="str">
        <f t="shared" si="5"/>
        <v/>
      </c>
      <c r="X27" s="59"/>
      <c r="Y27" s="54"/>
      <c r="Z27" s="60"/>
      <c r="AA27" s="56">
        <f t="shared" si="6"/>
        <v>0</v>
      </c>
      <c r="AB27" s="61" t="str">
        <f t="shared" si="7"/>
        <v/>
      </c>
      <c r="AC27" s="62" t="str">
        <f t="shared" si="8"/>
        <v/>
      </c>
    </row>
    <row r="28" spans="1:29">
      <c r="A28" s="63">
        <f t="shared" ref="A28:A34" si="10">A27+1</f>
        <v>2</v>
      </c>
      <c r="B28" s="64" t="str">
        <f>[1]!ArticleCode('Detail Verwarm San Vent'!Art_01.02.)</f>
        <v>01.02.</v>
      </c>
      <c r="C28" s="65" t="str">
        <f>[1]!ArticleDescription('Detail Verwarm San Vent'!Art_01.02.)</f>
        <v xml:space="preserve">aannemingsmodaliteiten – voorafgaand plaatsbezoek </v>
      </c>
      <c r="D28" s="54" t="str">
        <f>[1]!ArticleMeasureType('Detail Verwarm San Vent'!Art_01.02.)</f>
        <v/>
      </c>
      <c r="E28" s="54" t="str">
        <f>[1]!ArticleMeasureUnit('Detail Verwarm San Vent'!Art_01.02.)</f>
        <v>PM</v>
      </c>
      <c r="F28" s="72" t="str">
        <f>[1]!ArticleQuantity('Detail Verwarm San Vent'!Art_01.02.)</f>
        <v/>
      </c>
      <c r="G28" s="54"/>
      <c r="H28" s="56"/>
      <c r="I28" s="56">
        <f t="shared" si="9"/>
        <v>0</v>
      </c>
      <c r="J28" s="57"/>
      <c r="K28" s="58"/>
      <c r="L28" s="59"/>
      <c r="M28" s="54"/>
      <c r="N28" s="60"/>
      <c r="O28" s="56">
        <f t="shared" si="0"/>
        <v>0</v>
      </c>
      <c r="P28" s="61" t="str">
        <f t="shared" si="1"/>
        <v/>
      </c>
      <c r="Q28" s="62" t="str">
        <f t="shared" si="2"/>
        <v/>
      </c>
      <c r="R28" s="59"/>
      <c r="S28" s="54"/>
      <c r="T28" s="60"/>
      <c r="U28" s="56">
        <f t="shared" si="3"/>
        <v>0</v>
      </c>
      <c r="V28" s="61" t="str">
        <f t="shared" si="4"/>
        <v/>
      </c>
      <c r="W28" s="62" t="str">
        <f t="shared" si="5"/>
        <v/>
      </c>
      <c r="X28" s="59"/>
      <c r="Y28" s="54"/>
      <c r="Z28" s="60"/>
      <c r="AA28" s="56">
        <f t="shared" si="6"/>
        <v>0</v>
      </c>
      <c r="AB28" s="61" t="str">
        <f t="shared" si="7"/>
        <v/>
      </c>
      <c r="AC28" s="62" t="str">
        <f t="shared" si="8"/>
        <v/>
      </c>
    </row>
    <row r="29" spans="1:29">
      <c r="A29" s="63">
        <f t="shared" si="10"/>
        <v>3</v>
      </c>
      <c r="B29" s="64" t="str">
        <f>[1]!ArticleCode('Detail Verwarm San Vent'!Art_01.03.)</f>
        <v>01.03.</v>
      </c>
      <c r="C29" s="65" t="str">
        <f>[1]!ArticleDescription('Detail Verwarm San Vent'!Art_01.03.)</f>
        <v xml:space="preserve">aannemingsmodaliteiten – burgerlijke aansprakelijkheid </v>
      </c>
      <c r="D29" s="54" t="str">
        <f>[1]!ArticleMeasureType('Detail Verwarm San Vent'!Art_01.03.)</f>
        <v/>
      </c>
      <c r="E29" s="54" t="str">
        <f>[1]!ArticleMeasureUnit('Detail Verwarm San Vent'!Art_01.03.)</f>
        <v>PM</v>
      </c>
      <c r="F29" s="72" t="str">
        <f>[1]!ArticleQuantity('Detail Verwarm San Vent'!Art_01.03.)</f>
        <v/>
      </c>
      <c r="G29" s="54"/>
      <c r="H29" s="56"/>
      <c r="I29" s="56">
        <f t="shared" si="9"/>
        <v>0</v>
      </c>
      <c r="J29" s="57"/>
      <c r="K29" s="58"/>
      <c r="L29" s="59"/>
      <c r="M29" s="54"/>
      <c r="N29" s="60"/>
      <c r="O29" s="56">
        <f t="shared" si="0"/>
        <v>0</v>
      </c>
      <c r="P29" s="61" t="str">
        <f t="shared" si="1"/>
        <v/>
      </c>
      <c r="Q29" s="62" t="str">
        <f t="shared" si="2"/>
        <v/>
      </c>
      <c r="R29" s="59"/>
      <c r="S29" s="54"/>
      <c r="T29" s="60"/>
      <c r="U29" s="56">
        <f t="shared" si="3"/>
        <v>0</v>
      </c>
      <c r="V29" s="61" t="str">
        <f t="shared" si="4"/>
        <v/>
      </c>
      <c r="W29" s="62" t="str">
        <f t="shared" si="5"/>
        <v/>
      </c>
      <c r="X29" s="59"/>
      <c r="Y29" s="54"/>
      <c r="Z29" s="60"/>
      <c r="AA29" s="56">
        <f t="shared" si="6"/>
        <v>0</v>
      </c>
      <c r="AB29" s="61" t="str">
        <f t="shared" si="7"/>
        <v/>
      </c>
      <c r="AC29" s="62" t="str">
        <f t="shared" si="8"/>
        <v/>
      </c>
    </row>
    <row r="30" spans="1:29">
      <c r="A30" s="63">
        <f t="shared" si="10"/>
        <v>4</v>
      </c>
      <c r="B30" s="64" t="str">
        <f>[1]!ArticleCode('Detail Verwarm San Vent'!Art_01.04.)</f>
        <v>01.04.</v>
      </c>
      <c r="C30" s="65" t="str">
        <f>[1]!ArticleDescription('Detail Verwarm San Vent'!Art_01.04.)</f>
        <v xml:space="preserve">aannemingsmodaliteiten – volledigheid van inschrijving </v>
      </c>
      <c r="D30" s="54" t="str">
        <f>[1]!ArticleMeasureType('Detail Verwarm San Vent'!Art_01.04.)</f>
        <v/>
      </c>
      <c r="E30" s="54" t="str">
        <f>[1]!ArticleMeasureUnit('Detail Verwarm San Vent'!Art_01.04.)</f>
        <v>PM</v>
      </c>
      <c r="F30" s="72" t="str">
        <f>[1]!ArticleQuantity('Detail Verwarm San Vent'!Art_01.04.)</f>
        <v/>
      </c>
      <c r="G30" s="54"/>
      <c r="H30" s="56"/>
      <c r="I30" s="56">
        <f t="shared" si="9"/>
        <v>0</v>
      </c>
      <c r="J30" s="57"/>
      <c r="K30" s="58"/>
      <c r="L30" s="59"/>
      <c r="M30" s="54"/>
      <c r="N30" s="60"/>
      <c r="O30" s="56">
        <f t="shared" si="0"/>
        <v>0</v>
      </c>
      <c r="P30" s="61" t="str">
        <f t="shared" si="1"/>
        <v/>
      </c>
      <c r="Q30" s="62" t="str">
        <f t="shared" si="2"/>
        <v/>
      </c>
      <c r="R30" s="59"/>
      <c r="S30" s="54"/>
      <c r="T30" s="60"/>
      <c r="U30" s="56">
        <f t="shared" si="3"/>
        <v>0</v>
      </c>
      <c r="V30" s="61" t="str">
        <f t="shared" si="4"/>
        <v/>
      </c>
      <c r="W30" s="62" t="str">
        <f t="shared" si="5"/>
        <v/>
      </c>
      <c r="X30" s="59"/>
      <c r="Y30" s="54"/>
      <c r="Z30" s="60"/>
      <c r="AA30" s="56">
        <f t="shared" si="6"/>
        <v>0</v>
      </c>
      <c r="AB30" s="61" t="str">
        <f t="shared" si="7"/>
        <v/>
      </c>
      <c r="AC30" s="62" t="str">
        <f t="shared" si="8"/>
        <v/>
      </c>
    </row>
    <row r="31" spans="1:29">
      <c r="A31" s="63">
        <f t="shared" si="10"/>
        <v>5</v>
      </c>
      <c r="B31" s="64" t="str">
        <f>[1]!ArticleCode('Detail Verwarm San Vent'!Art_01.05.)</f>
        <v>01.05.</v>
      </c>
      <c r="C31" s="65" t="str">
        <f>[1]!ArticleDescription('Detail Verwarm San Vent'!Art_01.05.)</f>
        <v xml:space="preserve">aannemingsmodaliteiten – onderaanneming </v>
      </c>
      <c r="D31" s="54" t="str">
        <f>[1]!ArticleMeasureType('Detail Verwarm San Vent'!Art_01.05.)</f>
        <v/>
      </c>
      <c r="E31" s="54" t="str">
        <f>[1]!ArticleMeasureUnit('Detail Verwarm San Vent'!Art_01.05.)</f>
        <v>PM</v>
      </c>
      <c r="F31" s="72" t="str">
        <f>[1]!ArticleQuantity('Detail Verwarm San Vent'!Art_01.05.)</f>
        <v/>
      </c>
      <c r="G31" s="54"/>
      <c r="H31" s="56"/>
      <c r="I31" s="56">
        <f t="shared" si="9"/>
        <v>0</v>
      </c>
      <c r="J31" s="57"/>
      <c r="K31" s="58"/>
      <c r="L31" s="59"/>
      <c r="M31" s="54"/>
      <c r="N31" s="60"/>
      <c r="O31" s="56">
        <f t="shared" si="0"/>
        <v>0</v>
      </c>
      <c r="P31" s="61" t="str">
        <f t="shared" si="1"/>
        <v/>
      </c>
      <c r="Q31" s="62" t="str">
        <f t="shared" si="2"/>
        <v/>
      </c>
      <c r="R31" s="59"/>
      <c r="S31" s="54"/>
      <c r="T31" s="60"/>
      <c r="U31" s="56">
        <f t="shared" si="3"/>
        <v>0</v>
      </c>
      <c r="V31" s="61" t="str">
        <f t="shared" si="4"/>
        <v/>
      </c>
      <c r="W31" s="62" t="str">
        <f t="shared" si="5"/>
        <v/>
      </c>
      <c r="X31" s="59"/>
      <c r="Y31" s="54"/>
      <c r="Z31" s="60"/>
      <c r="AA31" s="56">
        <f t="shared" si="6"/>
        <v>0</v>
      </c>
      <c r="AB31" s="61" t="str">
        <f t="shared" si="7"/>
        <v/>
      </c>
      <c r="AC31" s="62" t="str">
        <f t="shared" si="8"/>
        <v/>
      </c>
    </row>
    <row r="32" spans="1:29">
      <c r="A32" s="63">
        <f t="shared" si="10"/>
        <v>6</v>
      </c>
      <c r="B32" s="64" t="str">
        <f>[1]!ArticleCode('Detail Verwarm San Vent'!Art_01.06.)</f>
        <v>01.06.</v>
      </c>
      <c r="C32" s="65" t="str">
        <f>[1]!ArticleDescription('Detail Verwarm San Vent'!Art_01.06.)</f>
        <v xml:space="preserve">aannemingsmodaliteiten – verrekeningen </v>
      </c>
      <c r="D32" s="54" t="str">
        <f>[1]!ArticleMeasureType('Detail Verwarm San Vent'!Art_01.06.)</f>
        <v/>
      </c>
      <c r="E32" s="54" t="str">
        <f>[1]!ArticleMeasureUnit('Detail Verwarm San Vent'!Art_01.06.)</f>
        <v>PM</v>
      </c>
      <c r="F32" s="72" t="str">
        <f>[1]!ArticleQuantity('Detail Verwarm San Vent'!Art_01.06.)</f>
        <v/>
      </c>
      <c r="G32" s="54"/>
      <c r="H32" s="56"/>
      <c r="I32" s="56">
        <f t="shared" si="9"/>
        <v>0</v>
      </c>
      <c r="J32" s="57"/>
      <c r="K32" s="58"/>
      <c r="L32" s="59"/>
      <c r="M32" s="54"/>
      <c r="N32" s="60"/>
      <c r="O32" s="56">
        <f t="shared" si="0"/>
        <v>0</v>
      </c>
      <c r="P32" s="61" t="str">
        <f t="shared" si="1"/>
        <v/>
      </c>
      <c r="Q32" s="62" t="str">
        <f t="shared" si="2"/>
        <v/>
      </c>
      <c r="R32" s="59"/>
      <c r="S32" s="54"/>
      <c r="T32" s="60"/>
      <c r="U32" s="56">
        <f t="shared" si="3"/>
        <v>0</v>
      </c>
      <c r="V32" s="61" t="str">
        <f t="shared" si="4"/>
        <v/>
      </c>
      <c r="W32" s="62" t="str">
        <f t="shared" si="5"/>
        <v/>
      </c>
      <c r="X32" s="59"/>
      <c r="Y32" s="54"/>
      <c r="Z32" s="60"/>
      <c r="AA32" s="56">
        <f t="shared" si="6"/>
        <v>0</v>
      </c>
      <c r="AB32" s="61" t="str">
        <f t="shared" si="7"/>
        <v/>
      </c>
      <c r="AC32" s="62" t="str">
        <f t="shared" si="8"/>
        <v/>
      </c>
    </row>
    <row r="33" spans="1:29">
      <c r="A33" s="63">
        <f t="shared" si="10"/>
        <v>7</v>
      </c>
      <c r="B33" s="64" t="str">
        <f>[1]!ArticleCode('Detail Verwarm San Vent'!Art_01.07.)</f>
        <v>01.07.</v>
      </c>
      <c r="C33" s="65" t="str">
        <f>[1]!ArticleDescription('Detail Verwarm San Vent'!Art_01.07.)</f>
        <v xml:space="preserve">aannemingsmodaliteiten – keuringsattesten </v>
      </c>
      <c r="D33" s="54" t="str">
        <f>[1]!ArticleMeasureType('Detail Verwarm San Vent'!Art_01.07.)</f>
        <v/>
      </c>
      <c r="E33" s="54" t="str">
        <f>[1]!ArticleMeasureUnit('Detail Verwarm San Vent'!Art_01.07.)</f>
        <v>PM</v>
      </c>
      <c r="F33" s="72" t="str">
        <f>[1]!ArticleQuantity('Detail Verwarm San Vent'!Art_01.07.)</f>
        <v/>
      </c>
      <c r="G33" s="54"/>
      <c r="H33" s="56"/>
      <c r="I33" s="56">
        <f t="shared" si="9"/>
        <v>0</v>
      </c>
      <c r="J33" s="57"/>
      <c r="K33" s="58"/>
      <c r="L33" s="59"/>
      <c r="M33" s="54"/>
      <c r="N33" s="60"/>
      <c r="O33" s="56">
        <f t="shared" si="0"/>
        <v>0</v>
      </c>
      <c r="P33" s="61" t="str">
        <f t="shared" si="1"/>
        <v/>
      </c>
      <c r="Q33" s="62" t="str">
        <f t="shared" si="2"/>
        <v/>
      </c>
      <c r="R33" s="59"/>
      <c r="S33" s="54"/>
      <c r="T33" s="60"/>
      <c r="U33" s="56">
        <f t="shared" si="3"/>
        <v>0</v>
      </c>
      <c r="V33" s="61" t="str">
        <f t="shared" si="4"/>
        <v/>
      </c>
      <c r="W33" s="62" t="str">
        <f t="shared" si="5"/>
        <v/>
      </c>
      <c r="X33" s="59"/>
      <c r="Y33" s="54"/>
      <c r="Z33" s="60"/>
      <c r="AA33" s="56">
        <f t="shared" si="6"/>
        <v>0</v>
      </c>
      <c r="AB33" s="61" t="str">
        <f t="shared" si="7"/>
        <v/>
      </c>
      <c r="AC33" s="62" t="str">
        <f t="shared" si="8"/>
        <v/>
      </c>
    </row>
    <row r="34" spans="1:29">
      <c r="A34" s="63">
        <f t="shared" si="10"/>
        <v>8</v>
      </c>
      <c r="B34" s="64" t="str">
        <f>[1]!ArticleCode('Detail Verwarm San Vent'!Art_01.08.)</f>
        <v>01.08.</v>
      </c>
      <c r="C34" s="65" t="str">
        <f>[1]!ArticleDescription('Detail Verwarm San Vent'!Art_01.08.)</f>
        <v xml:space="preserve">aannemingsmodaliteiten – materialenlijst </v>
      </c>
      <c r="D34" s="54" t="str">
        <f>[1]!ArticleMeasureType('Detail Verwarm San Vent'!Art_01.08.)</f>
        <v/>
      </c>
      <c r="E34" s="54" t="str">
        <f>[1]!ArticleMeasureUnit('Detail Verwarm San Vent'!Art_01.08.)</f>
        <v>PM</v>
      </c>
      <c r="F34" s="72" t="str">
        <f>[1]!ArticleQuantity('Detail Verwarm San Vent'!Art_01.08.)</f>
        <v/>
      </c>
      <c r="G34" s="54"/>
      <c r="H34" s="56"/>
      <c r="I34" s="56">
        <f t="shared" si="9"/>
        <v>0</v>
      </c>
      <c r="J34" s="57"/>
      <c r="K34" s="58"/>
      <c r="L34" s="59"/>
      <c r="M34" s="54"/>
      <c r="N34" s="60"/>
      <c r="O34" s="56">
        <f t="shared" si="0"/>
        <v>0</v>
      </c>
      <c r="P34" s="61" t="str">
        <f t="shared" si="1"/>
        <v/>
      </c>
      <c r="Q34" s="62" t="str">
        <f t="shared" si="2"/>
        <v/>
      </c>
      <c r="R34" s="59"/>
      <c r="S34" s="54"/>
      <c r="T34" s="60"/>
      <c r="U34" s="56">
        <f t="shared" si="3"/>
        <v>0</v>
      </c>
      <c r="V34" s="61" t="str">
        <f t="shared" si="4"/>
        <v/>
      </c>
      <c r="W34" s="62" t="str">
        <f t="shared" si="5"/>
        <v/>
      </c>
      <c r="X34" s="59"/>
      <c r="Y34" s="54"/>
      <c r="Z34" s="60"/>
      <c r="AA34" s="56">
        <f t="shared" si="6"/>
        <v>0</v>
      </c>
      <c r="AB34" s="61" t="str">
        <f t="shared" si="7"/>
        <v/>
      </c>
      <c r="AC34" s="62" t="str">
        <f t="shared" si="8"/>
        <v/>
      </c>
    </row>
    <row r="35" spans="1:29">
      <c r="B35" s="64" t="str">
        <f>[1]!ArticleCode('Detail Verwarm San Vent'!Art_01.20.)</f>
        <v>01.20.</v>
      </c>
      <c r="C35" s="65" t="str">
        <f>[1]!ArticleDescription('Detail Verwarm San Vent'!Art_01.20.)</f>
        <v>werfcoördinatie – algemeen</v>
      </c>
      <c r="D35" s="54"/>
      <c r="E35" s="54"/>
      <c r="F35" s="54"/>
      <c r="G35" s="54"/>
      <c r="H35" s="56"/>
      <c r="I35" s="56"/>
      <c r="J35" s="57"/>
      <c r="K35" s="58"/>
      <c r="L35" s="59"/>
      <c r="M35" s="54"/>
      <c r="N35" s="60"/>
      <c r="O35" s="56">
        <f t="shared" si="0"/>
        <v>0</v>
      </c>
      <c r="P35" s="61" t="str">
        <f t="shared" si="1"/>
        <v/>
      </c>
      <c r="Q35" s="62" t="str">
        <f t="shared" si="2"/>
        <v/>
      </c>
      <c r="R35" s="59"/>
      <c r="S35" s="54"/>
      <c r="T35" s="60"/>
      <c r="U35" s="56">
        <f t="shared" si="3"/>
        <v>0</v>
      </c>
      <c r="V35" s="61" t="str">
        <f t="shared" si="4"/>
        <v/>
      </c>
      <c r="W35" s="62" t="str">
        <f t="shared" si="5"/>
        <v/>
      </c>
      <c r="X35" s="59"/>
      <c r="Y35" s="54"/>
      <c r="Z35" s="60"/>
      <c r="AA35" s="56">
        <f t="shared" si="6"/>
        <v>0</v>
      </c>
      <c r="AB35" s="61" t="str">
        <f t="shared" si="7"/>
        <v/>
      </c>
      <c r="AC35" s="62" t="str">
        <f t="shared" si="8"/>
        <v/>
      </c>
    </row>
    <row r="36" spans="1:29">
      <c r="A36" s="63">
        <f>A34+1</f>
        <v>9</v>
      </c>
      <c r="B36" s="64" t="str">
        <f>[1]!ArticleCode('Detail Verwarm San Vent'!Art_01.21.)</f>
        <v>01.21.</v>
      </c>
      <c r="C36" s="65" t="str">
        <f>[1]!ArticleDescription('Detail Verwarm San Vent'!Art_01.21.)</f>
        <v xml:space="preserve">werfcoördinatie – planning van de werken </v>
      </c>
      <c r="D36" s="54" t="str">
        <f>[1]!ArticleMeasureType('Detail Verwarm San Vent'!Art_01.21.)</f>
        <v/>
      </c>
      <c r="E36" s="54" t="str">
        <f>[1]!ArticleMeasureUnit('Detail Verwarm San Vent'!Art_01.21.)</f>
        <v>PM</v>
      </c>
      <c r="F36" s="72" t="str">
        <f>[1]!ArticleQuantity('Detail Verwarm San Vent'!Art_01.21.)</f>
        <v/>
      </c>
      <c r="G36" s="54"/>
      <c r="H36" s="56"/>
      <c r="I36" s="56">
        <f>IF(RIGHT($D36,1)="-","************",ROUND(IF(NOT(ISNUMBER(G36)),IF(NOT(ISNUMBER(F36)),1,F36),G36)*H36,2))</f>
        <v>0</v>
      </c>
      <c r="J36" s="57"/>
      <c r="K36" s="58"/>
      <c r="L36" s="59"/>
      <c r="M36" s="54"/>
      <c r="N36" s="60"/>
      <c r="O36" s="56">
        <f t="shared" si="0"/>
        <v>0</v>
      </c>
      <c r="P36" s="61" t="str">
        <f t="shared" si="1"/>
        <v/>
      </c>
      <c r="Q36" s="62" t="str">
        <f t="shared" si="2"/>
        <v/>
      </c>
      <c r="R36" s="59"/>
      <c r="S36" s="54"/>
      <c r="T36" s="60"/>
      <c r="U36" s="56">
        <f t="shared" si="3"/>
        <v>0</v>
      </c>
      <c r="V36" s="61" t="str">
        <f t="shared" si="4"/>
        <v/>
      </c>
      <c r="W36" s="62" t="str">
        <f t="shared" si="5"/>
        <v/>
      </c>
      <c r="X36" s="59"/>
      <c r="Y36" s="54"/>
      <c r="Z36" s="60"/>
      <c r="AA36" s="56">
        <f t="shared" si="6"/>
        <v>0</v>
      </c>
      <c r="AB36" s="61" t="str">
        <f t="shared" si="7"/>
        <v/>
      </c>
      <c r="AC36" s="62" t="str">
        <f t="shared" si="8"/>
        <v/>
      </c>
    </row>
    <row r="37" spans="1:29">
      <c r="A37" s="63">
        <f>A36+1</f>
        <v>10</v>
      </c>
      <c r="B37" s="64" t="str">
        <f>[1]!ArticleCode('Detail Verwarm San Vent'!Art_01.23.)</f>
        <v>01.23.</v>
      </c>
      <c r="C37" s="65" t="str">
        <f>[1]!ArticleDescription('Detail Verwarm San Vent'!Art_01.23.)</f>
        <v xml:space="preserve">werfcoördinatie – werfvergaderingen </v>
      </c>
      <c r="D37" s="54" t="str">
        <f>[1]!ArticleMeasureType('Detail Verwarm San Vent'!Art_01.23.)</f>
        <v/>
      </c>
      <c r="E37" s="54" t="str">
        <f>[1]!ArticleMeasureUnit('Detail Verwarm San Vent'!Art_01.23.)</f>
        <v>PM</v>
      </c>
      <c r="F37" s="72" t="str">
        <f>[1]!ArticleQuantity('Detail Verwarm San Vent'!Art_01.23.)</f>
        <v/>
      </c>
      <c r="G37" s="54"/>
      <c r="H37" s="56"/>
      <c r="I37" s="56">
        <f>IF(RIGHT($D37,1)="-","************",ROUND(IF(NOT(ISNUMBER(G37)),IF(NOT(ISNUMBER(F37)),1,F37),G37)*H37,2))</f>
        <v>0</v>
      </c>
      <c r="J37" s="57"/>
      <c r="K37" s="58"/>
      <c r="L37" s="59"/>
      <c r="M37" s="54"/>
      <c r="N37" s="60"/>
      <c r="O37" s="56">
        <f t="shared" si="0"/>
        <v>0</v>
      </c>
      <c r="P37" s="61" t="str">
        <f t="shared" si="1"/>
        <v/>
      </c>
      <c r="Q37" s="62" t="str">
        <f t="shared" si="2"/>
        <v/>
      </c>
      <c r="R37" s="59"/>
      <c r="S37" s="54"/>
      <c r="T37" s="60"/>
      <c r="U37" s="56">
        <f t="shared" si="3"/>
        <v>0</v>
      </c>
      <c r="V37" s="61" t="str">
        <f t="shared" si="4"/>
        <v/>
      </c>
      <c r="W37" s="62" t="str">
        <f t="shared" si="5"/>
        <v/>
      </c>
      <c r="X37" s="59"/>
      <c r="Y37" s="54"/>
      <c r="Z37" s="60"/>
      <c r="AA37" s="56">
        <f t="shared" si="6"/>
        <v>0</v>
      </c>
      <c r="AB37" s="61" t="str">
        <f t="shared" si="7"/>
        <v/>
      </c>
      <c r="AC37" s="62" t="str">
        <f t="shared" si="8"/>
        <v/>
      </c>
    </row>
    <row r="38" spans="1:29">
      <c r="A38" s="63">
        <f>A37+1</f>
        <v>11</v>
      </c>
      <c r="B38" s="64" t="str">
        <f>[1]!ArticleCode('Detail Verwarm San Vent'!Art_01.25.)</f>
        <v>01.25.</v>
      </c>
      <c r="C38" s="65" t="str">
        <f>[1]!ArticleDescription('Detail Verwarm San Vent'!Art_01.25.)</f>
        <v xml:space="preserve">werfcoördinatie – as-builtdossier </v>
      </c>
      <c r="D38" s="54" t="str">
        <f>[1]!ArticleMeasureType('Detail Verwarm San Vent'!Art_01.25.)</f>
        <v/>
      </c>
      <c r="E38" s="54" t="str">
        <f>[1]!ArticleMeasureUnit('Detail Verwarm San Vent'!Art_01.25.)</f>
        <v>PM</v>
      </c>
      <c r="F38" s="72" t="str">
        <f>[1]!ArticleQuantity('Detail Verwarm San Vent'!Art_01.25.)</f>
        <v/>
      </c>
      <c r="G38" s="54"/>
      <c r="H38" s="56"/>
      <c r="I38" s="56">
        <f>IF(RIGHT($D38,1)="-","************",ROUND(IF(NOT(ISNUMBER(G38)),IF(NOT(ISNUMBER(F38)),1,F38),G38)*H38,2))</f>
        <v>0</v>
      </c>
      <c r="J38" s="57"/>
      <c r="K38" s="58"/>
      <c r="L38" s="59"/>
      <c r="M38" s="54"/>
      <c r="N38" s="60"/>
      <c r="O38" s="56">
        <f t="shared" si="0"/>
        <v>0</v>
      </c>
      <c r="P38" s="61" t="str">
        <f t="shared" si="1"/>
        <v/>
      </c>
      <c r="Q38" s="62" t="str">
        <f t="shared" si="2"/>
        <v/>
      </c>
      <c r="R38" s="59"/>
      <c r="S38" s="54"/>
      <c r="T38" s="60"/>
      <c r="U38" s="56">
        <f t="shared" si="3"/>
        <v>0</v>
      </c>
      <c r="V38" s="61" t="str">
        <f t="shared" si="4"/>
        <v/>
      </c>
      <c r="W38" s="62" t="str">
        <f t="shared" si="5"/>
        <v/>
      </c>
      <c r="X38" s="59"/>
      <c r="Y38" s="54"/>
      <c r="Z38" s="60"/>
      <c r="AA38" s="56">
        <f t="shared" si="6"/>
        <v>0</v>
      </c>
      <c r="AB38" s="61" t="str">
        <f t="shared" si="7"/>
        <v/>
      </c>
      <c r="AC38" s="62" t="str">
        <f t="shared" si="8"/>
        <v/>
      </c>
    </row>
    <row r="39" spans="1:29">
      <c r="B39" s="64" t="str">
        <f>[1]!ArticleCode('Detail Verwarm San Vent'!Art_01.30.)</f>
        <v>01.30.</v>
      </c>
      <c r="C39" s="65" t="str">
        <f>[1]!ArticleDescription('Detail Verwarm San Vent'!Art_01.30.)</f>
        <v>werfcondities – algemeen</v>
      </c>
      <c r="D39" s="54"/>
      <c r="E39" s="54"/>
      <c r="F39" s="54"/>
      <c r="G39" s="54"/>
      <c r="H39" s="56"/>
      <c r="I39" s="56"/>
      <c r="J39" s="57"/>
      <c r="K39" s="58"/>
      <c r="L39" s="59"/>
      <c r="M39" s="54"/>
      <c r="N39" s="60"/>
      <c r="O39" s="56">
        <f t="shared" si="0"/>
        <v>0</v>
      </c>
      <c r="P39" s="61" t="str">
        <f t="shared" si="1"/>
        <v/>
      </c>
      <c r="Q39" s="62" t="str">
        <f t="shared" si="2"/>
        <v/>
      </c>
      <c r="R39" s="59"/>
      <c r="S39" s="54"/>
      <c r="T39" s="60"/>
      <c r="U39" s="56">
        <f t="shared" si="3"/>
        <v>0</v>
      </c>
      <c r="V39" s="61" t="str">
        <f t="shared" si="4"/>
        <v/>
      </c>
      <c r="W39" s="62" t="str">
        <f t="shared" si="5"/>
        <v/>
      </c>
      <c r="X39" s="59"/>
      <c r="Y39" s="54"/>
      <c r="Z39" s="60"/>
      <c r="AA39" s="56">
        <f t="shared" si="6"/>
        <v>0</v>
      </c>
      <c r="AB39" s="61" t="str">
        <f t="shared" si="7"/>
        <v/>
      </c>
      <c r="AC39" s="62" t="str">
        <f t="shared" si="8"/>
        <v/>
      </c>
    </row>
    <row r="40" spans="1:29">
      <c r="A40" s="63">
        <f>A38+1</f>
        <v>12</v>
      </c>
      <c r="B40" s="64" t="str">
        <f>[1]!ArticleCode('Detail Verwarm San Vent'!Art_01.31.)</f>
        <v>01.31.</v>
      </c>
      <c r="C40" s="65" t="str">
        <f>[1]!ArticleDescription('Detail Verwarm San Vent'!Art_01.31.)</f>
        <v xml:space="preserve">werfcondities – orde en netheid </v>
      </c>
      <c r="D40" s="54" t="str">
        <f>[1]!ArticleMeasureType('Detail Verwarm San Vent'!Art_01.31.)</f>
        <v/>
      </c>
      <c r="E40" s="54" t="str">
        <f>[1]!ArticleMeasureUnit('Detail Verwarm San Vent'!Art_01.31.)</f>
        <v>PM</v>
      </c>
      <c r="F40" s="72" t="str">
        <f>[1]!ArticleQuantity('Detail Verwarm San Vent'!Art_01.31.)</f>
        <v/>
      </c>
      <c r="G40" s="54"/>
      <c r="H40" s="56"/>
      <c r="I40" s="56">
        <f>IF(RIGHT($D40,1)="-","************",ROUND(IF(NOT(ISNUMBER(G40)),IF(NOT(ISNUMBER(F40)),1,F40),G40)*H40,2))</f>
        <v>0</v>
      </c>
      <c r="J40" s="57"/>
      <c r="K40" s="58"/>
      <c r="L40" s="59"/>
      <c r="M40" s="54"/>
      <c r="N40" s="60"/>
      <c r="O40" s="56">
        <f t="shared" si="0"/>
        <v>0</v>
      </c>
      <c r="P40" s="61" t="str">
        <f t="shared" si="1"/>
        <v/>
      </c>
      <c r="Q40" s="62" t="str">
        <f t="shared" si="2"/>
        <v/>
      </c>
      <c r="R40" s="59"/>
      <c r="S40" s="54"/>
      <c r="T40" s="60"/>
      <c r="U40" s="56">
        <f t="shared" si="3"/>
        <v>0</v>
      </c>
      <c r="V40" s="61" t="str">
        <f t="shared" si="4"/>
        <v/>
      </c>
      <c r="W40" s="62" t="str">
        <f t="shared" si="5"/>
        <v/>
      </c>
      <c r="X40" s="59"/>
      <c r="Y40" s="54"/>
      <c r="Z40" s="60"/>
      <c r="AA40" s="56">
        <f t="shared" si="6"/>
        <v>0</v>
      </c>
      <c r="AB40" s="61" t="str">
        <f t="shared" si="7"/>
        <v/>
      </c>
      <c r="AC40" s="62" t="str">
        <f t="shared" si="8"/>
        <v/>
      </c>
    </row>
    <row r="41" spans="1:29">
      <c r="A41" s="63">
        <f>A40+1</f>
        <v>13</v>
      </c>
      <c r="B41" s="64" t="str">
        <f>[1]!ArticleCode('Detail Verwarm San Vent'!Art_01.32.)</f>
        <v>01.32.</v>
      </c>
      <c r="C41" s="65" t="str">
        <f>[1]!ArticleDescription('Detail Verwarm San Vent'!Art_01.32.)</f>
        <v xml:space="preserve">werfcondities – geluids- en stofhinder </v>
      </c>
      <c r="D41" s="54" t="str">
        <f>[1]!ArticleMeasureType('Detail Verwarm San Vent'!Art_01.32.)</f>
        <v/>
      </c>
      <c r="E41" s="54" t="str">
        <f>[1]!ArticleMeasureUnit('Detail Verwarm San Vent'!Art_01.32.)</f>
        <v>PM</v>
      </c>
      <c r="F41" s="72" t="str">
        <f>[1]!ArticleQuantity('Detail Verwarm San Vent'!Art_01.32.)</f>
        <v/>
      </c>
      <c r="G41" s="54"/>
      <c r="H41" s="56"/>
      <c r="I41" s="56">
        <f>IF(RIGHT($D41,1)="-","************",ROUND(IF(NOT(ISNUMBER(G41)),IF(NOT(ISNUMBER(F41)),1,F41),G41)*H41,2))</f>
        <v>0</v>
      </c>
      <c r="J41" s="57"/>
      <c r="K41" s="58"/>
      <c r="L41" s="59"/>
      <c r="M41" s="54"/>
      <c r="N41" s="60"/>
      <c r="O41" s="56">
        <f t="shared" si="0"/>
        <v>0</v>
      </c>
      <c r="P41" s="61" t="str">
        <f t="shared" ref="P41:P72" si="11">IF(O$228=0,"",O41/O$228)</f>
        <v/>
      </c>
      <c r="Q41" s="62" t="str">
        <f t="shared" si="2"/>
        <v/>
      </c>
      <c r="R41" s="59"/>
      <c r="S41" s="54"/>
      <c r="T41" s="60"/>
      <c r="U41" s="56">
        <f t="shared" si="3"/>
        <v>0</v>
      </c>
      <c r="V41" s="61" t="str">
        <f t="shared" ref="V41:V72" si="12">IF(U$228=0,"",U41/U$228)</f>
        <v/>
      </c>
      <c r="W41" s="62" t="str">
        <f t="shared" si="5"/>
        <v/>
      </c>
      <c r="X41" s="59"/>
      <c r="Y41" s="54"/>
      <c r="Z41" s="60"/>
      <c r="AA41" s="56">
        <f t="shared" si="6"/>
        <v>0</v>
      </c>
      <c r="AB41" s="61" t="str">
        <f t="shared" ref="AB41:AB72" si="13">IF(AA$228=0,"",AA41/AA$228)</f>
        <v/>
      </c>
      <c r="AC41" s="62" t="str">
        <f t="shared" si="8"/>
        <v/>
      </c>
    </row>
    <row r="42" spans="1:29">
      <c r="A42" s="63">
        <f>A41+1</f>
        <v>14</v>
      </c>
      <c r="B42" s="64" t="str">
        <f>[1]!ArticleCode('Detail Verwarm San Vent'!Art_01.33.)</f>
        <v>01.33.</v>
      </c>
      <c r="C42" s="65" t="str">
        <f>[1]!ArticleDescription('Detail Verwarm San Vent'!Art_01.33.)</f>
        <v xml:space="preserve">werfcondities – nazorg </v>
      </c>
      <c r="D42" s="54" t="str">
        <f>[1]!ArticleMeasureType('Detail Verwarm San Vent'!Art_01.33.)</f>
        <v/>
      </c>
      <c r="E42" s="54" t="str">
        <f>[1]!ArticleMeasureUnit('Detail Verwarm San Vent'!Art_01.33.)</f>
        <v>PM</v>
      </c>
      <c r="F42" s="72" t="str">
        <f>[1]!ArticleQuantity('Detail Verwarm San Vent'!Art_01.33.)</f>
        <v/>
      </c>
      <c r="G42" s="54"/>
      <c r="H42" s="56"/>
      <c r="I42" s="56">
        <f>IF(RIGHT($D42,1)="-","************",ROUND(IF(NOT(ISNUMBER(G42)),IF(NOT(ISNUMBER(F42)),1,F42),G42)*H42,2))</f>
        <v>0</v>
      </c>
      <c r="J42" s="57"/>
      <c r="K42" s="58"/>
      <c r="L42" s="59"/>
      <c r="M42" s="54"/>
      <c r="N42" s="60"/>
      <c r="O42" s="56">
        <f t="shared" si="0"/>
        <v>0</v>
      </c>
      <c r="P42" s="61" t="str">
        <f t="shared" si="11"/>
        <v/>
      </c>
      <c r="Q42" s="62" t="str">
        <f t="shared" si="2"/>
        <v/>
      </c>
      <c r="R42" s="59"/>
      <c r="S42" s="54"/>
      <c r="T42" s="60"/>
      <c r="U42" s="56">
        <f t="shared" si="3"/>
        <v>0</v>
      </c>
      <c r="V42" s="61" t="str">
        <f t="shared" si="12"/>
        <v/>
      </c>
      <c r="W42" s="62" t="str">
        <f t="shared" si="5"/>
        <v/>
      </c>
      <c r="X42" s="59"/>
      <c r="Y42" s="54"/>
      <c r="Z42" s="60"/>
      <c r="AA42" s="56">
        <f t="shared" si="6"/>
        <v>0</v>
      </c>
      <c r="AB42" s="61" t="str">
        <f t="shared" si="13"/>
        <v/>
      </c>
      <c r="AC42" s="62" t="str">
        <f t="shared" si="8"/>
        <v/>
      </c>
    </row>
    <row r="43" spans="1:29">
      <c r="A43" s="63">
        <f>A42+1</f>
        <v>15</v>
      </c>
      <c r="B43" s="64" t="str">
        <f>[1]!ArticleCode('Detail Verwarm San Vent'!Art_01.40.)</f>
        <v>01.40.</v>
      </c>
      <c r="C43" s="65" t="str">
        <f>[1]!ArticleDescription('Detail Verwarm San Vent'!Art_01.40.)</f>
        <v xml:space="preserve">veiligheidsvoorschriften – algemeen </v>
      </c>
      <c r="D43" s="54" t="str">
        <f>[1]!ArticleMeasureType('Detail Verwarm San Vent'!Art_01.40.)</f>
        <v/>
      </c>
      <c r="E43" s="54" t="str">
        <f>[1]!ArticleMeasureUnit('Detail Verwarm San Vent'!Art_01.40.)</f>
        <v>PM</v>
      </c>
      <c r="F43" s="72" t="str">
        <f>[1]!ArticleQuantity('Detail Verwarm San Vent'!Art_01.40.)</f>
        <v/>
      </c>
      <c r="G43" s="54"/>
      <c r="H43" s="56"/>
      <c r="I43" s="56">
        <f>IF(RIGHT($D43,1)="-","************",ROUND(IF(NOT(ISNUMBER(G43)),IF(NOT(ISNUMBER(F43)),1,F43),G43)*H43,2))</f>
        <v>0</v>
      </c>
      <c r="J43" s="57"/>
      <c r="K43" s="58"/>
      <c r="L43" s="59"/>
      <c r="M43" s="54"/>
      <c r="N43" s="60"/>
      <c r="O43" s="56">
        <f t="shared" si="0"/>
        <v>0</v>
      </c>
      <c r="P43" s="61" t="str">
        <f t="shared" si="11"/>
        <v/>
      </c>
      <c r="Q43" s="62" t="str">
        <f t="shared" si="2"/>
        <v/>
      </c>
      <c r="R43" s="59"/>
      <c r="S43" s="54"/>
      <c r="T43" s="60"/>
      <c r="U43" s="56">
        <f t="shared" si="3"/>
        <v>0</v>
      </c>
      <c r="V43" s="61" t="str">
        <f t="shared" si="12"/>
        <v/>
      </c>
      <c r="W43" s="62" t="str">
        <f t="shared" si="5"/>
        <v/>
      </c>
      <c r="X43" s="59"/>
      <c r="Y43" s="54"/>
      <c r="Z43" s="60"/>
      <c r="AA43" s="56">
        <f t="shared" si="6"/>
        <v>0</v>
      </c>
      <c r="AB43" s="61" t="str">
        <f t="shared" si="13"/>
        <v/>
      </c>
      <c r="AC43" s="62" t="str">
        <f t="shared" si="8"/>
        <v/>
      </c>
    </row>
    <row r="44" spans="1:29">
      <c r="B44" s="66"/>
      <c r="C44" s="67"/>
      <c r="D44" s="68"/>
      <c r="E44" s="67"/>
      <c r="F44" s="67"/>
      <c r="G44" s="67"/>
      <c r="H44" s="69"/>
      <c r="I44" s="69"/>
      <c r="J44" s="70">
        <f>SUBTOTAL(9,I25:I43)</f>
        <v>0</v>
      </c>
      <c r="K44" s="58"/>
      <c r="L44" s="59"/>
      <c r="M44" s="54"/>
      <c r="N44" s="60"/>
      <c r="O44" s="56">
        <f t="shared" si="0"/>
        <v>0</v>
      </c>
      <c r="P44" s="61" t="str">
        <f t="shared" si="11"/>
        <v/>
      </c>
      <c r="Q44" s="62" t="str">
        <f t="shared" si="2"/>
        <v/>
      </c>
      <c r="R44" s="59"/>
      <c r="S44" s="54"/>
      <c r="T44" s="60"/>
      <c r="U44" s="56">
        <f t="shared" si="3"/>
        <v>0</v>
      </c>
      <c r="V44" s="61" t="str">
        <f t="shared" si="12"/>
        <v/>
      </c>
      <c r="W44" s="62" t="str">
        <f t="shared" si="5"/>
        <v/>
      </c>
      <c r="X44" s="59"/>
      <c r="Y44" s="54"/>
      <c r="Z44" s="60"/>
      <c r="AA44" s="56">
        <f t="shared" si="6"/>
        <v>0</v>
      </c>
      <c r="AB44" s="61" t="str">
        <f t="shared" si="13"/>
        <v/>
      </c>
      <c r="AC44" s="62" t="str">
        <f t="shared" si="8"/>
        <v/>
      </c>
    </row>
    <row r="45" spans="1:29">
      <c r="B45" s="71"/>
      <c r="C45" s="54"/>
      <c r="D45" s="54"/>
      <c r="E45" s="54"/>
      <c r="F45" s="54"/>
      <c r="G45" s="54"/>
      <c r="H45" s="56"/>
      <c r="I45" s="56"/>
      <c r="J45" s="57"/>
      <c r="K45" s="58"/>
      <c r="L45" s="59"/>
      <c r="M45" s="54"/>
      <c r="N45" s="60"/>
      <c r="O45" s="56">
        <f t="shared" si="0"/>
        <v>0</v>
      </c>
      <c r="P45" s="61" t="str">
        <f t="shared" si="11"/>
        <v/>
      </c>
      <c r="Q45" s="62" t="str">
        <f t="shared" si="2"/>
        <v/>
      </c>
      <c r="R45" s="59"/>
      <c r="S45" s="54"/>
      <c r="T45" s="60"/>
      <c r="U45" s="56">
        <f t="shared" si="3"/>
        <v>0</v>
      </c>
      <c r="V45" s="61" t="str">
        <f t="shared" si="12"/>
        <v/>
      </c>
      <c r="W45" s="62" t="str">
        <f t="shared" si="5"/>
        <v/>
      </c>
      <c r="X45" s="59"/>
      <c r="Y45" s="54"/>
      <c r="Z45" s="60"/>
      <c r="AA45" s="56">
        <f t="shared" si="6"/>
        <v>0</v>
      </c>
      <c r="AB45" s="61" t="str">
        <f t="shared" si="13"/>
        <v/>
      </c>
      <c r="AC45" s="62" t="str">
        <f t="shared" si="8"/>
        <v/>
      </c>
    </row>
    <row r="46" spans="1:29">
      <c r="B46" s="53" t="s">
        <v>462</v>
      </c>
      <c r="C46" s="54"/>
      <c r="D46" s="55"/>
      <c r="E46" s="54"/>
      <c r="F46" s="54"/>
      <c r="G46" s="54"/>
      <c r="H46" s="56"/>
      <c r="I46" s="56"/>
      <c r="J46" s="57"/>
      <c r="K46" s="58"/>
      <c r="L46" s="59"/>
      <c r="M46" s="54"/>
      <c r="N46" s="60"/>
      <c r="O46" s="56">
        <f t="shared" si="0"/>
        <v>0</v>
      </c>
      <c r="P46" s="61" t="str">
        <f t="shared" si="11"/>
        <v/>
      </c>
      <c r="Q46" s="62" t="str">
        <f t="shared" si="2"/>
        <v/>
      </c>
      <c r="R46" s="59"/>
      <c r="S46" s="54"/>
      <c r="T46" s="60"/>
      <c r="U46" s="56">
        <f t="shared" si="3"/>
        <v>0</v>
      </c>
      <c r="V46" s="61" t="str">
        <f t="shared" si="12"/>
        <v/>
      </c>
      <c r="W46" s="62" t="str">
        <f t="shared" si="5"/>
        <v/>
      </c>
      <c r="X46" s="59"/>
      <c r="Y46" s="54"/>
      <c r="Z46" s="60"/>
      <c r="AA46" s="56">
        <f t="shared" si="6"/>
        <v>0</v>
      </c>
      <c r="AB46" s="61" t="str">
        <f t="shared" si="13"/>
        <v/>
      </c>
      <c r="AC46" s="62" t="str">
        <f t="shared" si="8"/>
        <v/>
      </c>
    </row>
    <row r="47" spans="1:29">
      <c r="B47" s="64" t="str">
        <f>[1]!ArticleCode('Detail Verwarm San Vent'!Art_02.)</f>
        <v>02.</v>
      </c>
      <c r="C47" s="65" t="str">
        <f>[1]!ArticleDescription('Detail Verwarm San Vent'!Art_02.)</f>
        <v>BOUWPLAATSVOORZIENINGEN</v>
      </c>
      <c r="D47" s="54"/>
      <c r="E47" s="54"/>
      <c r="F47" s="54"/>
      <c r="G47" s="54"/>
      <c r="H47" s="56"/>
      <c r="I47" s="56"/>
      <c r="J47" s="57"/>
      <c r="K47" s="58"/>
      <c r="L47" s="59"/>
      <c r="M47" s="54"/>
      <c r="N47" s="60"/>
      <c r="O47" s="56">
        <f t="shared" si="0"/>
        <v>0</v>
      </c>
      <c r="P47" s="61" t="str">
        <f t="shared" si="11"/>
        <v/>
      </c>
      <c r="Q47" s="62" t="str">
        <f t="shared" si="2"/>
        <v/>
      </c>
      <c r="R47" s="59"/>
      <c r="S47" s="54"/>
      <c r="T47" s="60"/>
      <c r="U47" s="56">
        <f t="shared" si="3"/>
        <v>0</v>
      </c>
      <c r="V47" s="61" t="str">
        <f t="shared" si="12"/>
        <v/>
      </c>
      <c r="W47" s="62" t="str">
        <f t="shared" si="5"/>
        <v/>
      </c>
      <c r="X47" s="59"/>
      <c r="Y47" s="54"/>
      <c r="Z47" s="60"/>
      <c r="AA47" s="56">
        <f t="shared" si="6"/>
        <v>0</v>
      </c>
      <c r="AB47" s="61" t="str">
        <f t="shared" si="13"/>
        <v/>
      </c>
      <c r="AC47" s="62" t="str">
        <f t="shared" si="8"/>
        <v/>
      </c>
    </row>
    <row r="48" spans="1:29">
      <c r="B48" s="64" t="str">
        <f>[1]!ArticleCode('Detail Verwarm San Vent'!Art_02.00.)</f>
        <v>02.00.</v>
      </c>
      <c r="C48" s="65" t="str">
        <f>[1]!ArticleDescription('Detail Verwarm San Vent'!Art_02.00.)</f>
        <v>bouwplaatsvoorzieningen - algemeen</v>
      </c>
      <c r="D48" s="54"/>
      <c r="E48" s="54"/>
      <c r="F48" s="54"/>
      <c r="G48" s="54"/>
      <c r="H48" s="56"/>
      <c r="I48" s="56"/>
      <c r="J48" s="57"/>
      <c r="K48" s="58"/>
      <c r="L48" s="59"/>
      <c r="M48" s="54"/>
      <c r="N48" s="60"/>
      <c r="O48" s="56">
        <f t="shared" si="0"/>
        <v>0</v>
      </c>
      <c r="P48" s="61" t="str">
        <f t="shared" si="11"/>
        <v/>
      </c>
      <c r="Q48" s="62" t="str">
        <f t="shared" si="2"/>
        <v/>
      </c>
      <c r="R48" s="59"/>
      <c r="S48" s="54"/>
      <c r="T48" s="60"/>
      <c r="U48" s="56">
        <f t="shared" si="3"/>
        <v>0</v>
      </c>
      <c r="V48" s="61" t="str">
        <f t="shared" si="12"/>
        <v/>
      </c>
      <c r="W48" s="62" t="str">
        <f t="shared" si="5"/>
        <v/>
      </c>
      <c r="X48" s="59"/>
      <c r="Y48" s="54"/>
      <c r="Z48" s="60"/>
      <c r="AA48" s="56">
        <f t="shared" si="6"/>
        <v>0</v>
      </c>
      <c r="AB48" s="61" t="str">
        <f t="shared" si="13"/>
        <v/>
      </c>
      <c r="AC48" s="62" t="str">
        <f t="shared" si="8"/>
        <v/>
      </c>
    </row>
    <row r="49" spans="1:29">
      <c r="B49" s="64" t="str">
        <f>[1]!ArticleCode('Detail Verwarm San Vent'!Art_02.80.)</f>
        <v>02.80.</v>
      </c>
      <c r="C49" s="65" t="str">
        <f>[1]!ArticleDescription('Detail Verwarm San Vent'!Art_02.80.)</f>
        <v>arbeidsmiddelen – algemeen</v>
      </c>
      <c r="D49" s="54"/>
      <c r="E49" s="54"/>
      <c r="F49" s="54"/>
      <c r="G49" s="54"/>
      <c r="H49" s="56"/>
      <c r="I49" s="56"/>
      <c r="J49" s="57"/>
      <c r="K49" s="58"/>
      <c r="L49" s="59"/>
      <c r="M49" s="54"/>
      <c r="N49" s="60"/>
      <c r="O49" s="56">
        <f t="shared" si="0"/>
        <v>0</v>
      </c>
      <c r="P49" s="61" t="str">
        <f t="shared" si="11"/>
        <v/>
      </c>
      <c r="Q49" s="62" t="str">
        <f t="shared" si="2"/>
        <v/>
      </c>
      <c r="R49" s="59"/>
      <c r="S49" s="54"/>
      <c r="T49" s="60"/>
      <c r="U49" s="56">
        <f t="shared" si="3"/>
        <v>0</v>
      </c>
      <c r="V49" s="61" t="str">
        <f t="shared" si="12"/>
        <v/>
      </c>
      <c r="W49" s="62" t="str">
        <f t="shared" si="5"/>
        <v/>
      </c>
      <c r="X49" s="59"/>
      <c r="Y49" s="54"/>
      <c r="Z49" s="60"/>
      <c r="AA49" s="56">
        <f t="shared" si="6"/>
        <v>0</v>
      </c>
      <c r="AB49" s="61" t="str">
        <f t="shared" si="13"/>
        <v/>
      </c>
      <c r="AC49" s="62" t="str">
        <f t="shared" si="8"/>
        <v/>
      </c>
    </row>
    <row r="50" spans="1:29">
      <c r="B50" s="64" t="str">
        <f>[1]!ArticleCode('Detail Verwarm San Vent'!Art_02.81.)</f>
        <v>02.81.</v>
      </c>
      <c r="C50" s="65" t="str">
        <f>[1]!ArticleDescription('Detail Verwarm San Vent'!Art_02.81.)</f>
        <v>arbeidsmiddelen – werken op hoogte</v>
      </c>
      <c r="D50" s="54"/>
      <c r="E50" s="54"/>
      <c r="F50" s="54"/>
      <c r="G50" s="54"/>
      <c r="H50" s="56"/>
      <c r="I50" s="56"/>
      <c r="J50" s="57"/>
      <c r="K50" s="58"/>
      <c r="L50" s="59"/>
      <c r="M50" s="54"/>
      <c r="N50" s="60"/>
      <c r="O50" s="56">
        <f t="shared" si="0"/>
        <v>0</v>
      </c>
      <c r="P50" s="61" t="str">
        <f t="shared" si="11"/>
        <v/>
      </c>
      <c r="Q50" s="62" t="str">
        <f t="shared" si="2"/>
        <v/>
      </c>
      <c r="R50" s="59"/>
      <c r="S50" s="54"/>
      <c r="T50" s="60"/>
      <c r="U50" s="56">
        <f t="shared" si="3"/>
        <v>0</v>
      </c>
      <c r="V50" s="61" t="str">
        <f t="shared" si="12"/>
        <v/>
      </c>
      <c r="W50" s="62" t="str">
        <f t="shared" si="5"/>
        <v/>
      </c>
      <c r="X50" s="59"/>
      <c r="Y50" s="54"/>
      <c r="Z50" s="60"/>
      <c r="AA50" s="56">
        <f t="shared" si="6"/>
        <v>0</v>
      </c>
      <c r="AB50" s="61" t="str">
        <f t="shared" si="13"/>
        <v/>
      </c>
      <c r="AC50" s="62" t="str">
        <f t="shared" si="8"/>
        <v/>
      </c>
    </row>
    <row r="51" spans="1:29">
      <c r="A51" s="63">
        <f>A43+1</f>
        <v>16</v>
      </c>
      <c r="B51" s="64" t="str">
        <f>[1]!ArticleCode('Detail Verwarm San Vent'!Art_02.81.10.)</f>
        <v>02.81.10.</v>
      </c>
      <c r="C51" s="65" t="str">
        <f>[1]!ArticleDescription('Detail Verwarm San Vent'!Art_02.81.10.)</f>
        <v>arbeidsmiddelen – werken op hoogte/ladders</v>
      </c>
      <c r="D51" s="54" t="str">
        <f>[1]!ArticleMeasureType('Detail Verwarm San Vent'!Art_02.81.10.)</f>
        <v/>
      </c>
      <c r="E51" s="54" t="str">
        <f>[1]!ArticleMeasureUnit('Detail Verwarm San Vent'!Art_02.81.10.)</f>
        <v>PM</v>
      </c>
      <c r="F51" s="72" t="str">
        <f>[1]!ArticleQuantity('Detail Verwarm San Vent'!Art_02.81.10.)</f>
        <v/>
      </c>
      <c r="G51" s="54"/>
      <c r="H51" s="56"/>
      <c r="I51" s="56">
        <f>IF(RIGHT($D51,1)="-","************",ROUND(IF(NOT(ISNUMBER(G51)),IF(NOT(ISNUMBER(F51)),1,F51),G51)*H51,2))</f>
        <v>0</v>
      </c>
      <c r="J51" s="57"/>
      <c r="K51" s="58"/>
      <c r="L51" s="59"/>
      <c r="M51" s="54"/>
      <c r="N51" s="60"/>
      <c r="O51" s="56">
        <f t="shared" si="0"/>
        <v>0</v>
      </c>
      <c r="P51" s="61" t="str">
        <f t="shared" si="11"/>
        <v/>
      </c>
      <c r="Q51" s="62" t="str">
        <f t="shared" si="2"/>
        <v/>
      </c>
      <c r="R51" s="59"/>
      <c r="S51" s="54"/>
      <c r="T51" s="60"/>
      <c r="U51" s="56">
        <f t="shared" si="3"/>
        <v>0</v>
      </c>
      <c r="V51" s="61" t="str">
        <f t="shared" si="12"/>
        <v/>
      </c>
      <c r="W51" s="62" t="str">
        <f t="shared" si="5"/>
        <v/>
      </c>
      <c r="X51" s="59"/>
      <c r="Y51" s="54"/>
      <c r="Z51" s="60"/>
      <c r="AA51" s="56">
        <f t="shared" si="6"/>
        <v>0</v>
      </c>
      <c r="AB51" s="61" t="str">
        <f t="shared" si="13"/>
        <v/>
      </c>
      <c r="AC51" s="62" t="str">
        <f t="shared" si="8"/>
        <v/>
      </c>
    </row>
    <row r="52" spans="1:29">
      <c r="B52" s="66"/>
      <c r="C52" s="67"/>
      <c r="D52" s="68"/>
      <c r="E52" s="67"/>
      <c r="F52" s="67"/>
      <c r="G52" s="67"/>
      <c r="H52" s="69"/>
      <c r="I52" s="69"/>
      <c r="J52" s="70">
        <f>SUBTOTAL(9,I47:I51)</f>
        <v>0</v>
      </c>
      <c r="K52" s="58"/>
      <c r="L52" s="59"/>
      <c r="M52" s="54"/>
      <c r="N52" s="60"/>
      <c r="O52" s="56">
        <f t="shared" si="0"/>
        <v>0</v>
      </c>
      <c r="P52" s="61" t="str">
        <f t="shared" si="11"/>
        <v/>
      </c>
      <c r="Q52" s="62" t="str">
        <f t="shared" si="2"/>
        <v/>
      </c>
      <c r="R52" s="59"/>
      <c r="S52" s="54"/>
      <c r="T52" s="60"/>
      <c r="U52" s="56">
        <f t="shared" si="3"/>
        <v>0</v>
      </c>
      <c r="V52" s="61" t="str">
        <f t="shared" si="12"/>
        <v/>
      </c>
      <c r="W52" s="62" t="str">
        <f t="shared" si="5"/>
        <v/>
      </c>
      <c r="X52" s="59"/>
      <c r="Y52" s="54"/>
      <c r="Z52" s="60"/>
      <c r="AA52" s="56">
        <f t="shared" si="6"/>
        <v>0</v>
      </c>
      <c r="AB52" s="61" t="str">
        <f t="shared" si="13"/>
        <v/>
      </c>
      <c r="AC52" s="62" t="str">
        <f t="shared" si="8"/>
        <v/>
      </c>
    </row>
    <row r="53" spans="1:29">
      <c r="B53" s="71"/>
      <c r="C53" s="54"/>
      <c r="D53" s="54"/>
      <c r="E53" s="54"/>
      <c r="F53" s="54"/>
      <c r="G53" s="54"/>
      <c r="H53" s="56"/>
      <c r="I53" s="56"/>
      <c r="J53" s="57"/>
      <c r="K53" s="58"/>
      <c r="L53" s="59"/>
      <c r="M53" s="54"/>
      <c r="N53" s="60"/>
      <c r="O53" s="56">
        <f t="shared" si="0"/>
        <v>0</v>
      </c>
      <c r="P53" s="61" t="str">
        <f t="shared" si="11"/>
        <v/>
      </c>
      <c r="Q53" s="62" t="str">
        <f t="shared" si="2"/>
        <v/>
      </c>
      <c r="R53" s="59"/>
      <c r="S53" s="54"/>
      <c r="T53" s="60"/>
      <c r="U53" s="56">
        <f t="shared" si="3"/>
        <v>0</v>
      </c>
      <c r="V53" s="61" t="str">
        <f t="shared" si="12"/>
        <v/>
      </c>
      <c r="W53" s="62" t="str">
        <f t="shared" si="5"/>
        <v/>
      </c>
      <c r="X53" s="59"/>
      <c r="Y53" s="54"/>
      <c r="Z53" s="60"/>
      <c r="AA53" s="56">
        <f t="shared" si="6"/>
        <v>0</v>
      </c>
      <c r="AB53" s="61" t="str">
        <f t="shared" si="13"/>
        <v/>
      </c>
      <c r="AC53" s="62" t="str">
        <f t="shared" si="8"/>
        <v/>
      </c>
    </row>
    <row r="54" spans="1:29">
      <c r="B54" s="53" t="s">
        <v>463</v>
      </c>
      <c r="C54" s="54"/>
      <c r="D54" s="55"/>
      <c r="E54" s="54"/>
      <c r="F54" s="54"/>
      <c r="G54" s="54"/>
      <c r="H54" s="56"/>
      <c r="I54" s="56"/>
      <c r="J54" s="57"/>
      <c r="K54" s="58"/>
      <c r="L54" s="59"/>
      <c r="M54" s="54"/>
      <c r="N54" s="60"/>
      <c r="O54" s="56">
        <f t="shared" si="0"/>
        <v>0</v>
      </c>
      <c r="P54" s="61" t="str">
        <f t="shared" si="11"/>
        <v/>
      </c>
      <c r="Q54" s="62" t="str">
        <f t="shared" si="2"/>
        <v/>
      </c>
      <c r="R54" s="59"/>
      <c r="S54" s="54"/>
      <c r="T54" s="60"/>
      <c r="U54" s="56">
        <f t="shared" si="3"/>
        <v>0</v>
      </c>
      <c r="V54" s="61" t="str">
        <f t="shared" si="12"/>
        <v/>
      </c>
      <c r="W54" s="62" t="str">
        <f t="shared" si="5"/>
        <v/>
      </c>
      <c r="X54" s="59"/>
      <c r="Y54" s="54"/>
      <c r="Z54" s="60"/>
      <c r="AA54" s="56">
        <f t="shared" si="6"/>
        <v>0</v>
      </c>
      <c r="AB54" s="61" t="str">
        <f t="shared" si="13"/>
        <v/>
      </c>
      <c r="AC54" s="62" t="str">
        <f t="shared" si="8"/>
        <v/>
      </c>
    </row>
    <row r="55" spans="1:29">
      <c r="B55" s="64" t="str">
        <f>[1]!ArticleCode('Detail Verwarm San Vent'!Art_04.)</f>
        <v>04.</v>
      </c>
      <c r="C55" s="65" t="str">
        <f>[1]!ArticleDescription('Detail Verwarm San Vent'!Art_04.)</f>
        <v>GEBOUWPRESTATIES</v>
      </c>
      <c r="D55" s="54"/>
      <c r="E55" s="54"/>
      <c r="F55" s="54"/>
      <c r="G55" s="54"/>
      <c r="H55" s="56"/>
      <c r="I55" s="56"/>
      <c r="J55" s="57"/>
      <c r="K55" s="58"/>
      <c r="L55" s="59"/>
      <c r="M55" s="54"/>
      <c r="N55" s="60"/>
      <c r="O55" s="56">
        <f t="shared" si="0"/>
        <v>0</v>
      </c>
      <c r="P55" s="61" t="str">
        <f t="shared" si="11"/>
        <v/>
      </c>
      <c r="Q55" s="62" t="str">
        <f t="shared" si="2"/>
        <v/>
      </c>
      <c r="R55" s="59"/>
      <c r="S55" s="54"/>
      <c r="T55" s="60"/>
      <c r="U55" s="56">
        <f t="shared" si="3"/>
        <v>0</v>
      </c>
      <c r="V55" s="61" t="str">
        <f t="shared" si="12"/>
        <v/>
      </c>
      <c r="W55" s="62" t="str">
        <f t="shared" si="5"/>
        <v/>
      </c>
      <c r="X55" s="59"/>
      <c r="Y55" s="54"/>
      <c r="Z55" s="60"/>
      <c r="AA55" s="56">
        <f t="shared" si="6"/>
        <v>0</v>
      </c>
      <c r="AB55" s="61" t="str">
        <f t="shared" si="13"/>
        <v/>
      </c>
      <c r="AC55" s="62" t="str">
        <f t="shared" si="8"/>
        <v/>
      </c>
    </row>
    <row r="56" spans="1:29">
      <c r="B56" s="64" t="str">
        <f>[1]!ArticleCode('Detail Verwarm San Vent'!Art_04.00.)</f>
        <v>04.00.</v>
      </c>
      <c r="C56" s="65" t="str">
        <f>[1]!ArticleDescription('Detail Verwarm San Vent'!Art_04.00.)</f>
        <v>gebouwprestaties - algemeen</v>
      </c>
      <c r="D56" s="54"/>
      <c r="E56" s="54"/>
      <c r="F56" s="54"/>
      <c r="G56" s="54"/>
      <c r="H56" s="56"/>
      <c r="I56" s="56"/>
      <c r="J56" s="57"/>
      <c r="K56" s="58"/>
      <c r="L56" s="59"/>
      <c r="M56" s="54"/>
      <c r="N56" s="60"/>
      <c r="O56" s="56">
        <f t="shared" si="0"/>
        <v>0</v>
      </c>
      <c r="P56" s="61" t="str">
        <f t="shared" si="11"/>
        <v/>
      </c>
      <c r="Q56" s="62" t="str">
        <f t="shared" si="2"/>
        <v/>
      </c>
      <c r="R56" s="59"/>
      <c r="S56" s="54"/>
      <c r="T56" s="60"/>
      <c r="U56" s="56">
        <f t="shared" si="3"/>
        <v>0</v>
      </c>
      <c r="V56" s="61" t="str">
        <f t="shared" si="12"/>
        <v/>
      </c>
      <c r="W56" s="62" t="str">
        <f t="shared" si="5"/>
        <v/>
      </c>
      <c r="X56" s="59"/>
      <c r="Y56" s="54"/>
      <c r="Z56" s="60"/>
      <c r="AA56" s="56">
        <f t="shared" si="6"/>
        <v>0</v>
      </c>
      <c r="AB56" s="61" t="str">
        <f t="shared" si="13"/>
        <v/>
      </c>
      <c r="AC56" s="62" t="str">
        <f t="shared" si="8"/>
        <v/>
      </c>
    </row>
    <row r="57" spans="1:29">
      <c r="A57" s="63">
        <f>A51+1</f>
        <v>17</v>
      </c>
      <c r="B57" s="64" t="str">
        <f>[1]!ArticleCode('Detail Verwarm San Vent'!Art_04.10.)</f>
        <v>04.10.</v>
      </c>
      <c r="C57" s="65" t="str">
        <f>[1]!ArticleDescription('Detail Verwarm San Vent'!Art_04.10.)</f>
        <v xml:space="preserve">energieprestatie en binnenklimaat (EPB) – algemeen </v>
      </c>
      <c r="D57" s="54" t="str">
        <f>[1]!ArticleMeasureType('Detail Verwarm San Vent'!Art_04.10.)</f>
        <v/>
      </c>
      <c r="E57" s="54" t="str">
        <f>[1]!ArticleMeasureUnit('Detail Verwarm San Vent'!Art_04.10.)</f>
        <v>PM</v>
      </c>
      <c r="F57" s="72" t="str">
        <f>[1]!ArticleQuantity('Detail Verwarm San Vent'!Art_04.10.)</f>
        <v/>
      </c>
      <c r="G57" s="54"/>
      <c r="H57" s="56"/>
      <c r="I57" s="56">
        <f>IF(RIGHT($D57,1)="-","************",ROUND(IF(NOT(ISNUMBER(G57)),IF(NOT(ISNUMBER(F57)),1,F57),G57)*H57,2))</f>
        <v>0</v>
      </c>
      <c r="J57" s="57"/>
      <c r="K57" s="58"/>
      <c r="L57" s="59"/>
      <c r="M57" s="54"/>
      <c r="N57" s="60"/>
      <c r="O57" s="56">
        <f t="shared" si="0"/>
        <v>0</v>
      </c>
      <c r="P57" s="61" t="str">
        <f t="shared" si="11"/>
        <v/>
      </c>
      <c r="Q57" s="62" t="str">
        <f t="shared" si="2"/>
        <v/>
      </c>
      <c r="R57" s="59"/>
      <c r="S57" s="54"/>
      <c r="T57" s="60"/>
      <c r="U57" s="56">
        <f t="shared" si="3"/>
        <v>0</v>
      </c>
      <c r="V57" s="61" t="str">
        <f t="shared" si="12"/>
        <v/>
      </c>
      <c r="W57" s="62" t="str">
        <f t="shared" si="5"/>
        <v/>
      </c>
      <c r="X57" s="59"/>
      <c r="Y57" s="54"/>
      <c r="Z57" s="60"/>
      <c r="AA57" s="56">
        <f t="shared" si="6"/>
        <v>0</v>
      </c>
      <c r="AB57" s="61" t="str">
        <f t="shared" si="13"/>
        <v/>
      </c>
      <c r="AC57" s="62" t="str">
        <f t="shared" si="8"/>
        <v/>
      </c>
    </row>
    <row r="58" spans="1:29">
      <c r="A58" s="63">
        <f>A57+1</f>
        <v>18</v>
      </c>
      <c r="B58" s="64" t="str">
        <f>[1]!ArticleCode('Detail Verwarm San Vent'!Art_04.40.)</f>
        <v>04.40.</v>
      </c>
      <c r="C58" s="65" t="str">
        <f>[1]!ArticleDescription('Detail Verwarm San Vent'!Art_04.40.)</f>
        <v xml:space="preserve">brandveiligheid - algemeen </v>
      </c>
      <c r="D58" s="54" t="str">
        <f>[1]!ArticleMeasureType('Detail Verwarm San Vent'!Art_04.40.)</f>
        <v/>
      </c>
      <c r="E58" s="54" t="str">
        <f>[1]!ArticleMeasureUnit('Detail Verwarm San Vent'!Art_04.40.)</f>
        <v>PM</v>
      </c>
      <c r="F58" s="72" t="str">
        <f>[1]!ArticleQuantity('Detail Verwarm San Vent'!Art_04.40.)</f>
        <v/>
      </c>
      <c r="G58" s="54"/>
      <c r="H58" s="56"/>
      <c r="I58" s="56">
        <f>IF(RIGHT($D58,1)="-","************",ROUND(IF(NOT(ISNUMBER(G58)),IF(NOT(ISNUMBER(F58)),1,F58),G58)*H58,2))</f>
        <v>0</v>
      </c>
      <c r="J58" s="57"/>
      <c r="K58" s="58"/>
      <c r="L58" s="59"/>
      <c r="M58" s="54"/>
      <c r="N58" s="60"/>
      <c r="O58" s="56">
        <f t="shared" si="0"/>
        <v>0</v>
      </c>
      <c r="P58" s="61" t="str">
        <f t="shared" si="11"/>
        <v/>
      </c>
      <c r="Q58" s="62" t="str">
        <f t="shared" si="2"/>
        <v/>
      </c>
      <c r="R58" s="59"/>
      <c r="S58" s="54"/>
      <c r="T58" s="60"/>
      <c r="U58" s="56">
        <f t="shared" si="3"/>
        <v>0</v>
      </c>
      <c r="V58" s="61" t="str">
        <f t="shared" si="12"/>
        <v/>
      </c>
      <c r="W58" s="62" t="str">
        <f t="shared" si="5"/>
        <v/>
      </c>
      <c r="X58" s="59"/>
      <c r="Y58" s="54"/>
      <c r="Z58" s="60"/>
      <c r="AA58" s="56">
        <f t="shared" si="6"/>
        <v>0</v>
      </c>
      <c r="AB58" s="61" t="str">
        <f t="shared" si="13"/>
        <v/>
      </c>
      <c r="AC58" s="62" t="str">
        <f t="shared" si="8"/>
        <v/>
      </c>
    </row>
    <row r="59" spans="1:29">
      <c r="B59" s="66"/>
      <c r="C59" s="67"/>
      <c r="D59" s="68"/>
      <c r="E59" s="67"/>
      <c r="F59" s="67"/>
      <c r="G59" s="67"/>
      <c r="H59" s="69"/>
      <c r="I59" s="69"/>
      <c r="J59" s="70">
        <f>SUBTOTAL(9,I55:I58)</f>
        <v>0</v>
      </c>
      <c r="K59" s="58"/>
      <c r="L59" s="59"/>
      <c r="M59" s="54"/>
      <c r="N59" s="60"/>
      <c r="O59" s="56">
        <f t="shared" si="0"/>
        <v>0</v>
      </c>
      <c r="P59" s="61" t="str">
        <f t="shared" si="11"/>
        <v/>
      </c>
      <c r="Q59" s="62" t="str">
        <f t="shared" si="2"/>
        <v/>
      </c>
      <c r="R59" s="59"/>
      <c r="S59" s="54"/>
      <c r="T59" s="60"/>
      <c r="U59" s="56">
        <f t="shared" si="3"/>
        <v>0</v>
      </c>
      <c r="V59" s="61" t="str">
        <f t="shared" si="12"/>
        <v/>
      </c>
      <c r="W59" s="62" t="str">
        <f t="shared" si="5"/>
        <v/>
      </c>
      <c r="X59" s="59"/>
      <c r="Y59" s="54"/>
      <c r="Z59" s="60"/>
      <c r="AA59" s="56">
        <f t="shared" si="6"/>
        <v>0</v>
      </c>
      <c r="AB59" s="61" t="str">
        <f t="shared" si="13"/>
        <v/>
      </c>
      <c r="AC59" s="62" t="str">
        <f t="shared" si="8"/>
        <v/>
      </c>
    </row>
    <row r="60" spans="1:29">
      <c r="B60" s="71"/>
      <c r="C60" s="54"/>
      <c r="D60" s="54"/>
      <c r="E60" s="54"/>
      <c r="F60" s="54"/>
      <c r="G60" s="54"/>
      <c r="H60" s="56"/>
      <c r="I60" s="56"/>
      <c r="J60" s="57"/>
      <c r="K60" s="58"/>
      <c r="L60" s="59"/>
      <c r="M60" s="54"/>
      <c r="N60" s="60"/>
      <c r="O60" s="56">
        <f t="shared" si="0"/>
        <v>0</v>
      </c>
      <c r="P60" s="61" t="str">
        <f t="shared" si="11"/>
        <v/>
      </c>
      <c r="Q60" s="62" t="str">
        <f t="shared" si="2"/>
        <v/>
      </c>
      <c r="R60" s="59"/>
      <c r="S60" s="54"/>
      <c r="T60" s="60"/>
      <c r="U60" s="56">
        <f t="shared" si="3"/>
        <v>0</v>
      </c>
      <c r="V60" s="61" t="str">
        <f t="shared" si="12"/>
        <v/>
      </c>
      <c r="W60" s="62" t="str">
        <f t="shared" si="5"/>
        <v/>
      </c>
      <c r="X60" s="59"/>
      <c r="Y60" s="54"/>
      <c r="Z60" s="60"/>
      <c r="AA60" s="56">
        <f t="shared" si="6"/>
        <v>0</v>
      </c>
      <c r="AB60" s="61" t="str">
        <f t="shared" si="13"/>
        <v/>
      </c>
      <c r="AC60" s="62" t="str">
        <f t="shared" si="8"/>
        <v/>
      </c>
    </row>
    <row r="61" spans="1:29">
      <c r="B61" s="53" t="s">
        <v>464</v>
      </c>
      <c r="C61" s="54"/>
      <c r="D61" s="55"/>
      <c r="E61" s="54"/>
      <c r="F61" s="54"/>
      <c r="G61" s="54"/>
      <c r="H61" s="56"/>
      <c r="I61" s="56"/>
      <c r="J61" s="57"/>
      <c r="K61" s="58"/>
      <c r="L61" s="59"/>
      <c r="M61" s="54"/>
      <c r="N61" s="60"/>
      <c r="O61" s="56">
        <f t="shared" si="0"/>
        <v>0</v>
      </c>
      <c r="P61" s="61" t="str">
        <f t="shared" si="11"/>
        <v/>
      </c>
      <c r="Q61" s="62" t="str">
        <f t="shared" si="2"/>
        <v/>
      </c>
      <c r="R61" s="59"/>
      <c r="S61" s="54"/>
      <c r="T61" s="60"/>
      <c r="U61" s="56">
        <f t="shared" si="3"/>
        <v>0</v>
      </c>
      <c r="V61" s="61" t="str">
        <f t="shared" si="12"/>
        <v/>
      </c>
      <c r="W61" s="62" t="str">
        <f t="shared" si="5"/>
        <v/>
      </c>
      <c r="X61" s="59"/>
      <c r="Y61" s="54"/>
      <c r="Z61" s="60"/>
      <c r="AA61" s="56">
        <f t="shared" si="6"/>
        <v>0</v>
      </c>
      <c r="AB61" s="61" t="str">
        <f t="shared" si="13"/>
        <v/>
      </c>
      <c r="AC61" s="62" t="str">
        <f t="shared" si="8"/>
        <v/>
      </c>
    </row>
    <row r="62" spans="1:29">
      <c r="B62" s="64" t="str">
        <f>[1]!ArticleCode('Detail Verwarm San Vent'!Art_60.)</f>
        <v>60.</v>
      </c>
      <c r="C62" s="65" t="str">
        <f>[1]!ArticleDescription('Detail Verwarm San Vent'!Art_60.)</f>
        <v>SANITAIR LEIDINGNET</v>
      </c>
      <c r="D62" s="54"/>
      <c r="E62" s="54"/>
      <c r="F62" s="54"/>
      <c r="G62" s="54"/>
      <c r="H62" s="56"/>
      <c r="I62" s="56"/>
      <c r="J62" s="57"/>
      <c r="K62" s="58"/>
      <c r="L62" s="59"/>
      <c r="M62" s="54"/>
      <c r="N62" s="60"/>
      <c r="O62" s="56">
        <f t="shared" si="0"/>
        <v>0</v>
      </c>
      <c r="P62" s="61" t="str">
        <f t="shared" si="11"/>
        <v/>
      </c>
      <c r="Q62" s="62" t="str">
        <f t="shared" si="2"/>
        <v/>
      </c>
      <c r="R62" s="59"/>
      <c r="S62" s="54"/>
      <c r="T62" s="60"/>
      <c r="U62" s="56">
        <f t="shared" si="3"/>
        <v>0</v>
      </c>
      <c r="V62" s="61" t="str">
        <f t="shared" si="12"/>
        <v/>
      </c>
      <c r="W62" s="62" t="str">
        <f t="shared" si="5"/>
        <v/>
      </c>
      <c r="X62" s="59"/>
      <c r="Y62" s="54"/>
      <c r="Z62" s="60"/>
      <c r="AA62" s="56">
        <f t="shared" si="6"/>
        <v>0</v>
      </c>
      <c r="AB62" s="61" t="str">
        <f t="shared" si="13"/>
        <v/>
      </c>
      <c r="AC62" s="62" t="str">
        <f t="shared" si="8"/>
        <v/>
      </c>
    </row>
    <row r="63" spans="1:29">
      <c r="B63" s="64" t="str">
        <f>[1]!ArticleCode('Detail Verwarm San Vent'!Art_60.00.)</f>
        <v>60.00.</v>
      </c>
      <c r="C63" s="65" t="str">
        <f>[1]!ArticleDescription('Detail Verwarm San Vent'!Art_60.00.)</f>
        <v>sanitair leidingnet - algemeen</v>
      </c>
      <c r="D63" s="54"/>
      <c r="E63" s="54"/>
      <c r="F63" s="54"/>
      <c r="G63" s="54"/>
      <c r="H63" s="56"/>
      <c r="I63" s="56"/>
      <c r="J63" s="57"/>
      <c r="K63" s="58"/>
      <c r="L63" s="59"/>
      <c r="M63" s="54"/>
      <c r="N63" s="60"/>
      <c r="O63" s="56">
        <f t="shared" si="0"/>
        <v>0</v>
      </c>
      <c r="P63" s="61" t="str">
        <f t="shared" si="11"/>
        <v/>
      </c>
      <c r="Q63" s="62" t="str">
        <f t="shared" si="2"/>
        <v/>
      </c>
      <c r="R63" s="59"/>
      <c r="S63" s="54"/>
      <c r="T63" s="60"/>
      <c r="U63" s="56">
        <f t="shared" si="3"/>
        <v>0</v>
      </c>
      <c r="V63" s="61" t="str">
        <f t="shared" si="12"/>
        <v/>
      </c>
      <c r="W63" s="62" t="str">
        <f t="shared" si="5"/>
        <v/>
      </c>
      <c r="X63" s="59"/>
      <c r="Y63" s="54"/>
      <c r="Z63" s="60"/>
      <c r="AA63" s="56">
        <f t="shared" si="6"/>
        <v>0</v>
      </c>
      <c r="AB63" s="61" t="str">
        <f t="shared" si="13"/>
        <v/>
      </c>
      <c r="AC63" s="62" t="str">
        <f t="shared" si="8"/>
        <v/>
      </c>
    </row>
    <row r="64" spans="1:29">
      <c r="B64" s="64" t="str">
        <f>[1]!ArticleCode('Detail Verwarm San Vent'!Art_60.10.)</f>
        <v>60.10.</v>
      </c>
      <c r="C64" s="65" t="str">
        <f>[1]!ArticleDescription('Detail Verwarm San Vent'!Art_60.10.)</f>
        <v>afvoerbuizen - algemeen</v>
      </c>
      <c r="D64" s="54"/>
      <c r="E64" s="54"/>
      <c r="F64" s="54"/>
      <c r="G64" s="54"/>
      <c r="H64" s="56"/>
      <c r="I64" s="56"/>
      <c r="J64" s="57"/>
      <c r="K64" s="58"/>
      <c r="L64" s="59"/>
      <c r="M64" s="54"/>
      <c r="N64" s="60"/>
      <c r="O64" s="56">
        <f t="shared" si="0"/>
        <v>0</v>
      </c>
      <c r="P64" s="61" t="str">
        <f t="shared" si="11"/>
        <v/>
      </c>
      <c r="Q64" s="62" t="str">
        <f t="shared" si="2"/>
        <v/>
      </c>
      <c r="R64" s="59"/>
      <c r="S64" s="54"/>
      <c r="T64" s="60"/>
      <c r="U64" s="56">
        <f t="shared" si="3"/>
        <v>0</v>
      </c>
      <c r="V64" s="61" t="str">
        <f t="shared" si="12"/>
        <v/>
      </c>
      <c r="W64" s="62" t="str">
        <f t="shared" si="5"/>
        <v/>
      </c>
      <c r="X64" s="59"/>
      <c r="Y64" s="54"/>
      <c r="Z64" s="60"/>
      <c r="AA64" s="56">
        <f t="shared" si="6"/>
        <v>0</v>
      </c>
      <c r="AB64" s="61" t="str">
        <f t="shared" si="13"/>
        <v/>
      </c>
      <c r="AC64" s="62" t="str">
        <f t="shared" si="8"/>
        <v/>
      </c>
    </row>
    <row r="65" spans="1:29">
      <c r="B65" s="64" t="str">
        <f>[1]!ArticleCode('Detail Verwarm San Vent'!Art_60.12.)</f>
        <v>60.12.</v>
      </c>
      <c r="C65" s="65" t="str">
        <f>[1]!ArticleDescription('Detail Verwarm San Vent'!Art_60.12.)</f>
        <v>afvoerbuizen - PE (enkel levering)</v>
      </c>
      <c r="D65" s="54"/>
      <c r="E65" s="54"/>
      <c r="F65" s="54"/>
      <c r="G65" s="54"/>
      <c r="H65" s="56"/>
      <c r="I65" s="56"/>
      <c r="J65" s="57"/>
      <c r="K65" s="58"/>
      <c r="L65" s="59"/>
      <c r="M65" s="54"/>
      <c r="N65" s="60"/>
      <c r="O65" s="56">
        <f t="shared" si="0"/>
        <v>0</v>
      </c>
      <c r="P65" s="61" t="str">
        <f t="shared" si="11"/>
        <v/>
      </c>
      <c r="Q65" s="62" t="str">
        <f t="shared" si="2"/>
        <v/>
      </c>
      <c r="R65" s="59"/>
      <c r="S65" s="54"/>
      <c r="T65" s="60"/>
      <c r="U65" s="56">
        <f t="shared" si="3"/>
        <v>0</v>
      </c>
      <c r="V65" s="61" t="str">
        <f t="shared" si="12"/>
        <v/>
      </c>
      <c r="W65" s="62" t="str">
        <f t="shared" si="5"/>
        <v/>
      </c>
      <c r="X65" s="59"/>
      <c r="Y65" s="54"/>
      <c r="Z65" s="60"/>
      <c r="AA65" s="56">
        <f t="shared" si="6"/>
        <v>0</v>
      </c>
      <c r="AB65" s="61" t="str">
        <f t="shared" si="13"/>
        <v/>
      </c>
      <c r="AC65" s="62" t="str">
        <f t="shared" si="8"/>
        <v/>
      </c>
    </row>
    <row r="66" spans="1:29">
      <c r="A66" s="63">
        <f>A58+1</f>
        <v>19</v>
      </c>
      <c r="B66" s="64" t="str">
        <f>[1]!ArticleCode('Detail Verwarm San Vent'!Art_60.12.01.)</f>
        <v>60.12.01.</v>
      </c>
      <c r="C66" s="65" t="str">
        <f>[1]!ArticleDescription('Detail Verwarm San Vent'!Art_60.12.01.)</f>
        <v>PE – Ø 40 mm (enkel levering)</v>
      </c>
      <c r="D66" s="54" t="str">
        <f>[1]!ArticleMeasureType('Detail Verwarm San Vent'!Art_60.12.01.)</f>
        <v>FH</v>
      </c>
      <c r="E66" s="54" t="str">
        <f>[1]!ArticleMeasureUnit('Detail Verwarm San Vent'!Art_60.12.01.)</f>
        <v>m</v>
      </c>
      <c r="F66" s="73">
        <f>[1]!ArticleQuantity('Detail Verwarm San Vent'!Art_60.12.01.)</f>
        <v>6</v>
      </c>
      <c r="G66" s="54"/>
      <c r="H66" s="56"/>
      <c r="I66" s="56">
        <f>IF(RIGHT($D66,1)="-","************",ROUND(IF(NOT(ISNUMBER(G66)),IF(NOT(ISNUMBER(F66)),1,F66),G66)*H66,2))</f>
        <v>0</v>
      </c>
      <c r="J66" s="57"/>
      <c r="K66" s="58"/>
      <c r="L66" s="59"/>
      <c r="M66" s="54"/>
      <c r="N66" s="60"/>
      <c r="O66" s="56">
        <f t="shared" si="0"/>
        <v>0</v>
      </c>
      <c r="P66" s="61" t="str">
        <f t="shared" si="11"/>
        <v/>
      </c>
      <c r="Q66" s="62" t="str">
        <f t="shared" si="2"/>
        <v/>
      </c>
      <c r="R66" s="59"/>
      <c r="S66" s="54"/>
      <c r="T66" s="60"/>
      <c r="U66" s="56">
        <f t="shared" si="3"/>
        <v>0</v>
      </c>
      <c r="V66" s="61" t="str">
        <f t="shared" si="12"/>
        <v/>
      </c>
      <c r="W66" s="62" t="str">
        <f t="shared" si="5"/>
        <v/>
      </c>
      <c r="X66" s="59"/>
      <c r="Y66" s="54"/>
      <c r="Z66" s="60"/>
      <c r="AA66" s="56">
        <f t="shared" si="6"/>
        <v>0</v>
      </c>
      <c r="AB66" s="61" t="str">
        <f t="shared" si="13"/>
        <v/>
      </c>
      <c r="AC66" s="62" t="str">
        <f t="shared" si="8"/>
        <v/>
      </c>
    </row>
    <row r="67" spans="1:29">
      <c r="A67" s="63">
        <f>A66+1</f>
        <v>20</v>
      </c>
      <c r="B67" s="64" t="str">
        <f>[1]!ArticleCode('Detail Verwarm San Vent'!Art_60.12.02.)</f>
        <v>60.12.02.</v>
      </c>
      <c r="C67" s="65" t="str">
        <f>[1]!ArticleDescription('Detail Verwarm San Vent'!Art_60.12.02.)</f>
        <v>PE – Ø 50 mm (enkel levering)</v>
      </c>
      <c r="D67" s="54" t="str">
        <f>[1]!ArticleMeasureType('Detail Verwarm San Vent'!Art_60.12.02.)</f>
        <v>FH</v>
      </c>
      <c r="E67" s="54" t="str">
        <f>[1]!ArticleMeasureUnit('Detail Verwarm San Vent'!Art_60.12.02.)</f>
        <v>m</v>
      </c>
      <c r="F67" s="73">
        <f>[1]!ArticleQuantity('Detail Verwarm San Vent'!Art_60.12.02.)</f>
        <v>4</v>
      </c>
      <c r="G67" s="54"/>
      <c r="H67" s="56"/>
      <c r="I67" s="56">
        <f>IF(RIGHT($D67,1)="-","************",ROUND(IF(NOT(ISNUMBER(G67)),IF(NOT(ISNUMBER(F67)),1,F67),G67)*H67,2))</f>
        <v>0</v>
      </c>
      <c r="J67" s="57"/>
      <c r="K67" s="58"/>
      <c r="L67" s="59"/>
      <c r="M67" s="54"/>
      <c r="N67" s="60"/>
      <c r="O67" s="56">
        <f t="shared" si="0"/>
        <v>0</v>
      </c>
      <c r="P67" s="61" t="str">
        <f t="shared" si="11"/>
        <v/>
      </c>
      <c r="Q67" s="62" t="str">
        <f t="shared" si="2"/>
        <v/>
      </c>
      <c r="R67" s="59"/>
      <c r="S67" s="54"/>
      <c r="T67" s="60"/>
      <c r="U67" s="56">
        <f t="shared" si="3"/>
        <v>0</v>
      </c>
      <c r="V67" s="61" t="str">
        <f t="shared" si="12"/>
        <v/>
      </c>
      <c r="W67" s="62" t="str">
        <f t="shared" si="5"/>
        <v/>
      </c>
      <c r="X67" s="59"/>
      <c r="Y67" s="54"/>
      <c r="Z67" s="60"/>
      <c r="AA67" s="56">
        <f t="shared" si="6"/>
        <v>0</v>
      </c>
      <c r="AB67" s="61" t="str">
        <f t="shared" si="13"/>
        <v/>
      </c>
      <c r="AC67" s="62" t="str">
        <f t="shared" si="8"/>
        <v/>
      </c>
    </row>
    <row r="68" spans="1:29">
      <c r="A68" s="63">
        <f>A67+1</f>
        <v>21</v>
      </c>
      <c r="B68" s="64" t="str">
        <f>[1]!ArticleCode('Detail Verwarm San Vent'!Art_60.12.03.)</f>
        <v>60.12.03.</v>
      </c>
      <c r="C68" s="65" t="str">
        <f>[1]!ArticleDescription('Detail Verwarm San Vent'!Art_60.12.03.)</f>
        <v>PE – Ø 63 mm (enkel levering)</v>
      </c>
      <c r="D68" s="54" t="str">
        <f>[1]!ArticleMeasureType('Detail Verwarm San Vent'!Art_60.12.03.)</f>
        <v>FH</v>
      </c>
      <c r="E68" s="54" t="str">
        <f>[1]!ArticleMeasureUnit('Detail Verwarm San Vent'!Art_60.12.03.)</f>
        <v>m</v>
      </c>
      <c r="F68" s="73">
        <f>[1]!ArticleQuantity('Detail Verwarm San Vent'!Art_60.12.03.)</f>
        <v>1</v>
      </c>
      <c r="G68" s="54"/>
      <c r="H68" s="56"/>
      <c r="I68" s="56">
        <f>IF(RIGHT($D68,1)="-","************",ROUND(IF(NOT(ISNUMBER(G68)),IF(NOT(ISNUMBER(F68)),1,F68),G68)*H68,2))</f>
        <v>0</v>
      </c>
      <c r="J68" s="57"/>
      <c r="K68" s="58"/>
      <c r="L68" s="59"/>
      <c r="M68" s="54"/>
      <c r="N68" s="60"/>
      <c r="O68" s="56">
        <f t="shared" si="0"/>
        <v>0</v>
      </c>
      <c r="P68" s="61" t="str">
        <f t="shared" si="11"/>
        <v/>
      </c>
      <c r="Q68" s="62" t="str">
        <f t="shared" si="2"/>
        <v/>
      </c>
      <c r="R68" s="59"/>
      <c r="S68" s="54"/>
      <c r="T68" s="60"/>
      <c r="U68" s="56">
        <f t="shared" si="3"/>
        <v>0</v>
      </c>
      <c r="V68" s="61" t="str">
        <f t="shared" si="12"/>
        <v/>
      </c>
      <c r="W68" s="62" t="str">
        <f t="shared" si="5"/>
        <v/>
      </c>
      <c r="X68" s="59"/>
      <c r="Y68" s="54"/>
      <c r="Z68" s="60"/>
      <c r="AA68" s="56">
        <f t="shared" si="6"/>
        <v>0</v>
      </c>
      <c r="AB68" s="61" t="str">
        <f t="shared" si="13"/>
        <v/>
      </c>
      <c r="AC68" s="62" t="str">
        <f t="shared" si="8"/>
        <v/>
      </c>
    </row>
    <row r="69" spans="1:29">
      <c r="A69" s="63">
        <f>A68+1</f>
        <v>22</v>
      </c>
      <c r="B69" s="64" t="str">
        <f>[1]!ArticleCode('Detail Verwarm San Vent'!Art_60.12.04.)</f>
        <v>60.12.04.</v>
      </c>
      <c r="C69" s="65" t="str">
        <f>[1]!ArticleDescription('Detail Verwarm San Vent'!Art_60.12.04.)</f>
        <v>PE – Ø 75 mm  (enkel levering)</v>
      </c>
      <c r="D69" s="54" t="str">
        <f>[1]!ArticleMeasureType('Detail Verwarm San Vent'!Art_60.12.04.)</f>
        <v>FH</v>
      </c>
      <c r="E69" s="54" t="str">
        <f>[1]!ArticleMeasureUnit('Detail Verwarm San Vent'!Art_60.12.04.)</f>
        <v>m</v>
      </c>
      <c r="F69" s="73">
        <f>[1]!ArticleQuantity('Detail Verwarm San Vent'!Art_60.12.04.)</f>
        <v>0</v>
      </c>
      <c r="G69" s="54"/>
      <c r="H69" s="56"/>
      <c r="I69" s="56">
        <f>IF(RIGHT($D69,1)="-","************",ROUND(IF(NOT(ISNUMBER(G69)),IF(NOT(ISNUMBER(F69)),1,F69),G69)*H69,2))</f>
        <v>0</v>
      </c>
      <c r="J69" s="57"/>
      <c r="K69" s="58"/>
      <c r="L69" s="59"/>
      <c r="M69" s="54"/>
      <c r="N69" s="60"/>
      <c r="O69" s="56">
        <f t="shared" si="0"/>
        <v>0</v>
      </c>
      <c r="P69" s="61" t="str">
        <f t="shared" si="11"/>
        <v/>
      </c>
      <c r="Q69" s="62" t="str">
        <f t="shared" si="2"/>
        <v/>
      </c>
      <c r="R69" s="59"/>
      <c r="S69" s="54"/>
      <c r="T69" s="60"/>
      <c r="U69" s="56">
        <f t="shared" si="3"/>
        <v>0</v>
      </c>
      <c r="V69" s="61" t="str">
        <f t="shared" si="12"/>
        <v/>
      </c>
      <c r="W69" s="62" t="str">
        <f t="shared" si="5"/>
        <v/>
      </c>
      <c r="X69" s="59"/>
      <c r="Y69" s="54"/>
      <c r="Z69" s="60"/>
      <c r="AA69" s="56">
        <f t="shared" si="6"/>
        <v>0</v>
      </c>
      <c r="AB69" s="61" t="str">
        <f t="shared" si="13"/>
        <v/>
      </c>
      <c r="AC69" s="62" t="str">
        <f t="shared" si="8"/>
        <v/>
      </c>
    </row>
    <row r="70" spans="1:29">
      <c r="A70" s="63">
        <f>A69+1</f>
        <v>23</v>
      </c>
      <c r="B70" s="64" t="str">
        <f>[1]!ArticleCode('Detail Verwarm San Vent'!Art_60.12.05.)</f>
        <v>60.12.05.</v>
      </c>
      <c r="C70" s="65" t="str">
        <f>[1]!ArticleDescription('Detail Verwarm San Vent'!Art_60.12.05.)</f>
        <v>PE – Ø 90 mm (enkel levering)</v>
      </c>
      <c r="D70" s="54" t="str">
        <f>[1]!ArticleMeasureType('Detail Verwarm San Vent'!Art_60.12.05.)</f>
        <v>FH</v>
      </c>
      <c r="E70" s="54" t="str">
        <f>[1]!ArticleMeasureUnit('Detail Verwarm San Vent'!Art_60.12.05.)</f>
        <v>m</v>
      </c>
      <c r="F70" s="73">
        <f>[1]!ArticleQuantity('Detail Verwarm San Vent'!Art_60.12.05.)</f>
        <v>4</v>
      </c>
      <c r="G70" s="54"/>
      <c r="H70" s="56"/>
      <c r="I70" s="56">
        <f>IF(RIGHT($D70,1)="-","************",ROUND(IF(NOT(ISNUMBER(G70)),IF(NOT(ISNUMBER(F70)),1,F70),G70)*H70,2))</f>
        <v>0</v>
      </c>
      <c r="J70" s="57"/>
      <c r="K70" s="58"/>
      <c r="L70" s="59"/>
      <c r="M70" s="54"/>
      <c r="N70" s="60"/>
      <c r="O70" s="56">
        <f t="shared" si="0"/>
        <v>0</v>
      </c>
      <c r="P70" s="61" t="str">
        <f t="shared" si="11"/>
        <v/>
      </c>
      <c r="Q70" s="62" t="str">
        <f t="shared" si="2"/>
        <v/>
      </c>
      <c r="R70" s="59"/>
      <c r="S70" s="54"/>
      <c r="T70" s="60"/>
      <c r="U70" s="56">
        <f t="shared" si="3"/>
        <v>0</v>
      </c>
      <c r="V70" s="61" t="str">
        <f t="shared" si="12"/>
        <v/>
      </c>
      <c r="W70" s="62" t="str">
        <f t="shared" si="5"/>
        <v/>
      </c>
      <c r="X70" s="59"/>
      <c r="Y70" s="54"/>
      <c r="Z70" s="60"/>
      <c r="AA70" s="56">
        <f t="shared" si="6"/>
        <v>0</v>
      </c>
      <c r="AB70" s="61" t="str">
        <f t="shared" si="13"/>
        <v/>
      </c>
      <c r="AC70" s="62" t="str">
        <f t="shared" si="8"/>
        <v/>
      </c>
    </row>
    <row r="71" spans="1:29">
      <c r="B71" s="64" t="str">
        <f>[1]!ArticleCode('Detail Verwarm San Vent'!Art_60.20.)</f>
        <v>60.20.</v>
      </c>
      <c r="C71" s="65" t="str">
        <f>[1]!ArticleDescription('Detail Verwarm San Vent'!Art_60.20.)</f>
        <v>verluchtingsbuizen - algemeen</v>
      </c>
      <c r="D71" s="54"/>
      <c r="E71" s="54"/>
      <c r="F71" s="54"/>
      <c r="G71" s="54"/>
      <c r="H71" s="56"/>
      <c r="I71" s="56"/>
      <c r="J71" s="57"/>
      <c r="K71" s="58"/>
      <c r="L71" s="59"/>
      <c r="M71" s="54"/>
      <c r="N71" s="60"/>
      <c r="O71" s="56">
        <f t="shared" si="0"/>
        <v>0</v>
      </c>
      <c r="P71" s="61" t="str">
        <f t="shared" si="11"/>
        <v/>
      </c>
      <c r="Q71" s="62" t="str">
        <f t="shared" si="2"/>
        <v/>
      </c>
      <c r="R71" s="59"/>
      <c r="S71" s="54"/>
      <c r="T71" s="60"/>
      <c r="U71" s="56">
        <f t="shared" si="3"/>
        <v>0</v>
      </c>
      <c r="V71" s="61" t="str">
        <f t="shared" si="12"/>
        <v/>
      </c>
      <c r="W71" s="62" t="str">
        <f t="shared" si="5"/>
        <v/>
      </c>
      <c r="X71" s="59"/>
      <c r="Y71" s="54"/>
      <c r="Z71" s="60"/>
      <c r="AA71" s="56">
        <f t="shared" si="6"/>
        <v>0</v>
      </c>
      <c r="AB71" s="61" t="str">
        <f t="shared" si="13"/>
        <v/>
      </c>
      <c r="AC71" s="62" t="str">
        <f t="shared" si="8"/>
        <v/>
      </c>
    </row>
    <row r="72" spans="1:29">
      <c r="A72" s="63">
        <f>A70+1</f>
        <v>24</v>
      </c>
      <c r="B72" s="64" t="str">
        <f>[1]!ArticleCode('Detail Verwarm San Vent'!Art_60.22.)</f>
        <v>60.22.</v>
      </c>
      <c r="C72" s="65" t="str">
        <f>[1]!ArticleDescription('Detail Verwarm San Vent'!Art_60.22.)</f>
        <v xml:space="preserve">verluchtingsbuizen - PE </v>
      </c>
      <c r="D72" s="54" t="str">
        <f>[1]!ArticleMeasureType('Detail Verwarm San Vent'!Art_60.22.)</f>
        <v/>
      </c>
      <c r="E72" s="54" t="str">
        <f>[1]!ArticleMeasureUnit('Detail Verwarm San Vent'!Art_60.22.)</f>
        <v>PM</v>
      </c>
      <c r="F72" s="72" t="str">
        <f>[1]!ArticleQuantity('Detail Verwarm San Vent'!Art_60.22.)</f>
        <v/>
      </c>
      <c r="G72" s="54"/>
      <c r="H72" s="56"/>
      <c r="I72" s="56">
        <f>IF(RIGHT($D72,1)="-","************",ROUND(IF(NOT(ISNUMBER(G72)),IF(NOT(ISNUMBER(F72)),1,F72),G72)*H72,2))</f>
        <v>0</v>
      </c>
      <c r="J72" s="57"/>
      <c r="K72" s="58"/>
      <c r="L72" s="59"/>
      <c r="M72" s="54"/>
      <c r="N72" s="60"/>
      <c r="O72" s="56">
        <f t="shared" si="0"/>
        <v>0</v>
      </c>
      <c r="P72" s="61" t="str">
        <f t="shared" si="11"/>
        <v/>
      </c>
      <c r="Q72" s="62" t="str">
        <f t="shared" si="2"/>
        <v/>
      </c>
      <c r="R72" s="59"/>
      <c r="S72" s="54"/>
      <c r="T72" s="60"/>
      <c r="U72" s="56">
        <f t="shared" si="3"/>
        <v>0</v>
      </c>
      <c r="V72" s="61" t="str">
        <f t="shared" si="12"/>
        <v/>
      </c>
      <c r="W72" s="62" t="str">
        <f t="shared" si="5"/>
        <v/>
      </c>
      <c r="X72" s="59"/>
      <c r="Y72" s="54"/>
      <c r="Z72" s="60"/>
      <c r="AA72" s="56">
        <f t="shared" si="6"/>
        <v>0</v>
      </c>
      <c r="AB72" s="61" t="str">
        <f t="shared" si="13"/>
        <v/>
      </c>
      <c r="AC72" s="62" t="str">
        <f t="shared" si="8"/>
        <v/>
      </c>
    </row>
    <row r="73" spans="1:29">
      <c r="B73" s="64" t="str">
        <f>[1]!ArticleCode('Detail Verwarm San Vent'!Art_60.30.)</f>
        <v>60.30.</v>
      </c>
      <c r="C73" s="65" t="str">
        <f>[1]!ArticleDescription('Detail Verwarm San Vent'!Art_60.30.)</f>
        <v>klokroosters - intern - algemeen</v>
      </c>
      <c r="D73" s="54"/>
      <c r="E73" s="54"/>
      <c r="F73" s="54"/>
      <c r="G73" s="54"/>
      <c r="H73" s="56"/>
      <c r="I73" s="56"/>
      <c r="J73" s="57"/>
      <c r="K73" s="58"/>
      <c r="L73" s="59"/>
      <c r="M73" s="54"/>
      <c r="N73" s="60"/>
      <c r="O73" s="56">
        <f t="shared" ref="O73:O133" si="14">IF(MID($D73,3,1)="-","*********",ROUND(IF(NOT(ISNUMBER($G73)),IF(NOT(ISNUMBER($F73)),1,$F73),$G73)*(IF(NOT(ISNUMBER(N73)),L73,N73)),2))</f>
        <v>0</v>
      </c>
      <c r="P73" s="61" t="str">
        <f t="shared" ref="P73:P104" si="15">IF(O$228=0,"",O73/O$228)</f>
        <v/>
      </c>
      <c r="Q73" s="62" t="str">
        <f t="shared" ref="Q73:Q133" si="16">IF($K73=0,"",IF(NOT(ISNUMBER(N73)),L73,N73)/$K73-1)</f>
        <v/>
      </c>
      <c r="R73" s="59"/>
      <c r="S73" s="54"/>
      <c r="T73" s="60"/>
      <c r="U73" s="56">
        <f t="shared" ref="U73:U133" si="17">IF(MID($D73,3,1)="-","*********",ROUND(IF(NOT(ISNUMBER($G73)),IF(NOT(ISNUMBER($F73)),1,$F73),$G73)*(IF(NOT(ISNUMBER(T73)),R73,T73)),2))</f>
        <v>0</v>
      </c>
      <c r="V73" s="61" t="str">
        <f t="shared" ref="V73:V104" si="18">IF(U$228=0,"",U73/U$228)</f>
        <v/>
      </c>
      <c r="W73" s="62" t="str">
        <f t="shared" ref="W73:W133" si="19">IF($K73=0,"",IF(NOT(ISNUMBER(T73)),R73,T73)/$K73-1)</f>
        <v/>
      </c>
      <c r="X73" s="59"/>
      <c r="Y73" s="54"/>
      <c r="Z73" s="60"/>
      <c r="AA73" s="56">
        <f t="shared" ref="AA73:AA133" si="20">IF(MID($D73,3,1)="-","*********",ROUND(IF(NOT(ISNUMBER($G73)),IF(NOT(ISNUMBER($F73)),1,$F73),$G73)*(IF(NOT(ISNUMBER(Z73)),X73,Z73)),2))</f>
        <v>0</v>
      </c>
      <c r="AB73" s="61" t="str">
        <f t="shared" ref="AB73:AB104" si="21">IF(AA$228=0,"",AA73/AA$228)</f>
        <v/>
      </c>
      <c r="AC73" s="62" t="str">
        <f t="shared" ref="AC73:AC133" si="22">IF($K73=0,"",IF(NOT(ISNUMBER(Z73)),X73,Z73)/$K73-1)</f>
        <v/>
      </c>
    </row>
    <row r="74" spans="1:29">
      <c r="A74" s="63">
        <f>A72+1</f>
        <v>25</v>
      </c>
      <c r="B74" s="64" t="str">
        <f>[1]!ArticleCode('Detail Verwarm San Vent'!Art_60.33.)</f>
        <v>60.33.</v>
      </c>
      <c r="C74" s="65" t="str">
        <f>[1]!ArticleDescription('Detail Verwarm San Vent'!Art_60.33.)</f>
        <v xml:space="preserve">klokroosters - roestvast staal (RVS) </v>
      </c>
      <c r="D74" s="54" t="str">
        <f>[1]!ArticleMeasureType('Detail Verwarm San Vent'!Art_60.33.)</f>
        <v>FH</v>
      </c>
      <c r="E74" s="54" t="str">
        <f>[1]!ArticleMeasureUnit('Detail Verwarm San Vent'!Art_60.33.)</f>
        <v>st</v>
      </c>
      <c r="F74" s="72">
        <f>[1]!ArticleQuantity('Detail Verwarm San Vent'!Art_60.33.)</f>
        <v>1</v>
      </c>
      <c r="G74" s="54"/>
      <c r="H74" s="56"/>
      <c r="I74" s="56">
        <f>IF(RIGHT($D74,1)="-","************",ROUND(IF(NOT(ISNUMBER(G74)),IF(NOT(ISNUMBER(F74)),1,F74),G74)*H74,2))</f>
        <v>0</v>
      </c>
      <c r="J74" s="57"/>
      <c r="K74" s="58"/>
      <c r="L74" s="59"/>
      <c r="M74" s="54"/>
      <c r="N74" s="60"/>
      <c r="O74" s="56">
        <f t="shared" si="14"/>
        <v>0</v>
      </c>
      <c r="P74" s="61" t="str">
        <f t="shared" si="15"/>
        <v/>
      </c>
      <c r="Q74" s="62" t="str">
        <f t="shared" si="16"/>
        <v/>
      </c>
      <c r="R74" s="59"/>
      <c r="S74" s="54"/>
      <c r="T74" s="60"/>
      <c r="U74" s="56">
        <f t="shared" si="17"/>
        <v>0</v>
      </c>
      <c r="V74" s="61" t="str">
        <f t="shared" si="18"/>
        <v/>
      </c>
      <c r="W74" s="62" t="str">
        <f t="shared" si="19"/>
        <v/>
      </c>
      <c r="X74" s="59"/>
      <c r="Y74" s="54"/>
      <c r="Z74" s="60"/>
      <c r="AA74" s="56">
        <f t="shared" si="20"/>
        <v>0</v>
      </c>
      <c r="AB74" s="61" t="str">
        <f t="shared" si="21"/>
        <v/>
      </c>
      <c r="AC74" s="62" t="str">
        <f t="shared" si="22"/>
        <v/>
      </c>
    </row>
    <row r="75" spans="1:29">
      <c r="B75" s="64" t="str">
        <f>[1]!ArticleCode('Detail Verwarm San Vent'!Art_60.50.)</f>
        <v>60.50.</v>
      </c>
      <c r="C75" s="65" t="str">
        <f>[1]!ArticleDescription('Detail Verwarm San Vent'!Art_60.50.)</f>
        <v>sanitaire drukleidingen - algemeen</v>
      </c>
      <c r="D75" s="54"/>
      <c r="E75" s="54"/>
      <c r="F75" s="54"/>
      <c r="G75" s="54"/>
      <c r="H75" s="56"/>
      <c r="I75" s="56"/>
      <c r="J75" s="57"/>
      <c r="K75" s="58"/>
      <c r="L75" s="59"/>
      <c r="M75" s="54"/>
      <c r="N75" s="60"/>
      <c r="O75" s="56">
        <f t="shared" si="14"/>
        <v>0</v>
      </c>
      <c r="P75" s="61" t="str">
        <f t="shared" si="15"/>
        <v/>
      </c>
      <c r="Q75" s="62" t="str">
        <f t="shared" si="16"/>
        <v/>
      </c>
      <c r="R75" s="59"/>
      <c r="S75" s="54"/>
      <c r="T75" s="60"/>
      <c r="U75" s="56">
        <f t="shared" si="17"/>
        <v>0</v>
      </c>
      <c r="V75" s="61" t="str">
        <f t="shared" si="18"/>
        <v/>
      </c>
      <c r="W75" s="62" t="str">
        <f t="shared" si="19"/>
        <v/>
      </c>
      <c r="X75" s="59"/>
      <c r="Y75" s="54"/>
      <c r="Z75" s="60"/>
      <c r="AA75" s="56">
        <f t="shared" si="20"/>
        <v>0</v>
      </c>
      <c r="AB75" s="61" t="str">
        <f t="shared" si="21"/>
        <v/>
      </c>
      <c r="AC75" s="62" t="str">
        <f t="shared" si="22"/>
        <v/>
      </c>
    </row>
    <row r="76" spans="1:29">
      <c r="B76" s="64" t="str">
        <f>[1]!ArticleCode('Detail Verwarm San Vent'!Art_60.51.)</f>
        <v>60.51.</v>
      </c>
      <c r="C76" s="65" t="str">
        <f>[1]!ArticleDescription('Detail Verwarm San Vent'!Art_60.51.)</f>
        <v>sanitaire drukleidingen - buizen</v>
      </c>
      <c r="D76" s="54"/>
      <c r="E76" s="54"/>
      <c r="F76" s="54"/>
      <c r="G76" s="54"/>
      <c r="H76" s="56"/>
      <c r="I76" s="56"/>
      <c r="J76" s="57"/>
      <c r="K76" s="58"/>
      <c r="L76" s="59"/>
      <c r="M76" s="54"/>
      <c r="N76" s="60"/>
      <c r="O76" s="56">
        <f t="shared" si="14"/>
        <v>0</v>
      </c>
      <c r="P76" s="61" t="str">
        <f t="shared" si="15"/>
        <v/>
      </c>
      <c r="Q76" s="62" t="str">
        <f t="shared" si="16"/>
        <v/>
      </c>
      <c r="R76" s="59"/>
      <c r="S76" s="54"/>
      <c r="T76" s="60"/>
      <c r="U76" s="56">
        <f t="shared" si="17"/>
        <v>0</v>
      </c>
      <c r="V76" s="61" t="str">
        <f t="shared" si="18"/>
        <v/>
      </c>
      <c r="W76" s="62" t="str">
        <f t="shared" si="19"/>
        <v/>
      </c>
      <c r="X76" s="59"/>
      <c r="Y76" s="54"/>
      <c r="Z76" s="60"/>
      <c r="AA76" s="56">
        <f t="shared" si="20"/>
        <v>0</v>
      </c>
      <c r="AB76" s="61" t="str">
        <f t="shared" si="21"/>
        <v/>
      </c>
      <c r="AC76" s="62" t="str">
        <f t="shared" si="22"/>
        <v/>
      </c>
    </row>
    <row r="77" spans="1:29">
      <c r="B77" s="64" t="str">
        <f>[1]!ArticleCode('Detail Verwarm San Vent'!Art_60.51.30.)</f>
        <v>60.51.30.</v>
      </c>
      <c r="C77" s="65" t="str">
        <f>[1]!ArticleDescription('Detail Verwarm San Vent'!Art_60.51.30.)</f>
        <v>sanitaire drukleidingen – buizen/kunststof (enkel levering)</v>
      </c>
      <c r="D77" s="54"/>
      <c r="E77" s="54"/>
      <c r="F77" s="54"/>
      <c r="G77" s="54"/>
      <c r="H77" s="56"/>
      <c r="I77" s="56"/>
      <c r="J77" s="57"/>
      <c r="K77" s="58"/>
      <c r="L77" s="59"/>
      <c r="M77" s="54"/>
      <c r="N77" s="60"/>
      <c r="O77" s="56">
        <f t="shared" si="14"/>
        <v>0</v>
      </c>
      <c r="P77" s="61" t="str">
        <f t="shared" si="15"/>
        <v/>
      </c>
      <c r="Q77" s="62" t="str">
        <f t="shared" si="16"/>
        <v/>
      </c>
      <c r="R77" s="59"/>
      <c r="S77" s="54"/>
      <c r="T77" s="60"/>
      <c r="U77" s="56">
        <f t="shared" si="17"/>
        <v>0</v>
      </c>
      <c r="V77" s="61" t="str">
        <f t="shared" si="18"/>
        <v/>
      </c>
      <c r="W77" s="62" t="str">
        <f t="shared" si="19"/>
        <v/>
      </c>
      <c r="X77" s="59"/>
      <c r="Y77" s="54"/>
      <c r="Z77" s="60"/>
      <c r="AA77" s="56">
        <f t="shared" si="20"/>
        <v>0</v>
      </c>
      <c r="AB77" s="61" t="str">
        <f t="shared" si="21"/>
        <v/>
      </c>
      <c r="AC77" s="62" t="str">
        <f t="shared" si="22"/>
        <v/>
      </c>
    </row>
    <row r="78" spans="1:29">
      <c r="A78" s="63">
        <f>A74+1</f>
        <v>26</v>
      </c>
      <c r="B78" s="64" t="str">
        <f>[1]!ArticleCode('Detail Verwarm San Vent'!Art_60.51.31.)</f>
        <v>60.51.31.</v>
      </c>
      <c r="C78" s="65" t="str">
        <f>[1]!ArticleDescription('Detail Verwarm San Vent'!Art_60.51.31.)</f>
        <v>PP-R Ø 16 x 2.7 mm (enkel levering)</v>
      </c>
      <c r="D78" s="54" t="str">
        <f>[1]!ArticleMeasureType('Detail Verwarm San Vent'!Art_60.51.31.)</f>
        <v>FH</v>
      </c>
      <c r="E78" s="54" t="str">
        <f>[1]!ArticleMeasureUnit('Detail Verwarm San Vent'!Art_60.51.31.)</f>
        <v>m</v>
      </c>
      <c r="F78" s="73">
        <f>[1]!ArticleQuantity('Detail Verwarm San Vent'!Art_60.51.31.)</f>
        <v>125.01</v>
      </c>
      <c r="G78" s="54"/>
      <c r="H78" s="56"/>
      <c r="I78" s="56">
        <f>IF(RIGHT($D78,1)="-","************",ROUND(IF(NOT(ISNUMBER(G78)),IF(NOT(ISNUMBER(F78)),1,F78),G78)*H78,2))</f>
        <v>0</v>
      </c>
      <c r="J78" s="57"/>
      <c r="K78" s="58"/>
      <c r="L78" s="59"/>
      <c r="M78" s="54"/>
      <c r="N78" s="60"/>
      <c r="O78" s="56">
        <f t="shared" si="14"/>
        <v>0</v>
      </c>
      <c r="P78" s="61" t="str">
        <f t="shared" si="15"/>
        <v/>
      </c>
      <c r="Q78" s="62" t="str">
        <f t="shared" si="16"/>
        <v/>
      </c>
      <c r="R78" s="59"/>
      <c r="S78" s="54"/>
      <c r="T78" s="60"/>
      <c r="U78" s="56">
        <f t="shared" si="17"/>
        <v>0</v>
      </c>
      <c r="V78" s="61" t="str">
        <f t="shared" si="18"/>
        <v/>
      </c>
      <c r="W78" s="62" t="str">
        <f t="shared" si="19"/>
        <v/>
      </c>
      <c r="X78" s="59"/>
      <c r="Y78" s="54"/>
      <c r="Z78" s="60"/>
      <c r="AA78" s="56">
        <f t="shared" si="20"/>
        <v>0</v>
      </c>
      <c r="AB78" s="61" t="str">
        <f t="shared" si="21"/>
        <v/>
      </c>
      <c r="AC78" s="62" t="str">
        <f t="shared" si="22"/>
        <v/>
      </c>
    </row>
    <row r="79" spans="1:29">
      <c r="A79" s="63">
        <f>A78+1</f>
        <v>27</v>
      </c>
      <c r="B79" s="64" t="str">
        <f>[1]!ArticleCode('Detail Verwarm San Vent'!Art_60.51.34.)</f>
        <v>60.51.34.</v>
      </c>
      <c r="C79" s="65" t="str">
        <f>[1]!ArticleDescription('Detail Verwarm San Vent'!Art_60.51.34.)</f>
        <v>PP-R Ø 32 x 5.4 mm (enkel levering)</v>
      </c>
      <c r="D79" s="54" t="str">
        <f>[1]!ArticleMeasureType('Detail Verwarm San Vent'!Art_60.51.34.)</f>
        <v>FH</v>
      </c>
      <c r="E79" s="54" t="str">
        <f>[1]!ArticleMeasureUnit('Detail Verwarm San Vent'!Art_60.51.34.)</f>
        <v>m</v>
      </c>
      <c r="F79" s="73">
        <f>[1]!ArticleQuantity('Detail Verwarm San Vent'!Art_60.51.34.)</f>
        <v>16.190000000000001</v>
      </c>
      <c r="G79" s="54"/>
      <c r="H79" s="56"/>
      <c r="I79" s="56">
        <f>IF(RIGHT($D79,1)="-","************",ROUND(IF(NOT(ISNUMBER(G79)),IF(NOT(ISNUMBER(F79)),1,F79),G79)*H79,2))</f>
        <v>0</v>
      </c>
      <c r="J79" s="57"/>
      <c r="K79" s="58"/>
      <c r="L79" s="59"/>
      <c r="M79" s="54"/>
      <c r="N79" s="60"/>
      <c r="O79" s="56">
        <f t="shared" si="14"/>
        <v>0</v>
      </c>
      <c r="P79" s="61" t="str">
        <f t="shared" si="15"/>
        <v/>
      </c>
      <c r="Q79" s="62" t="str">
        <f t="shared" si="16"/>
        <v/>
      </c>
      <c r="R79" s="59"/>
      <c r="S79" s="54"/>
      <c r="T79" s="60"/>
      <c r="U79" s="56">
        <f t="shared" si="17"/>
        <v>0</v>
      </c>
      <c r="V79" s="61" t="str">
        <f t="shared" si="18"/>
        <v/>
      </c>
      <c r="W79" s="62" t="str">
        <f t="shared" si="19"/>
        <v/>
      </c>
      <c r="X79" s="59"/>
      <c r="Y79" s="54"/>
      <c r="Z79" s="60"/>
      <c r="AA79" s="56">
        <f t="shared" si="20"/>
        <v>0</v>
      </c>
      <c r="AB79" s="61" t="str">
        <f t="shared" si="21"/>
        <v/>
      </c>
      <c r="AC79" s="62" t="str">
        <f t="shared" si="22"/>
        <v/>
      </c>
    </row>
    <row r="80" spans="1:29">
      <c r="A80" s="63">
        <f>A79+1</f>
        <v>28</v>
      </c>
      <c r="B80" s="64" t="str">
        <f>[1]!ArticleCode('Detail Verwarm San Vent'!Art_60.52.)</f>
        <v>60.52.</v>
      </c>
      <c r="C80" s="65" t="str">
        <f>[1]!ArticleDescription('Detail Verwarm San Vent'!Art_60.52.)</f>
        <v xml:space="preserve">sanitaire drukleidingen - collectoren </v>
      </c>
      <c r="D80" s="54" t="str">
        <f>[1]!ArticleMeasureType('Detail Verwarm San Vent'!Art_60.52.)</f>
        <v>FH</v>
      </c>
      <c r="E80" s="54" t="str">
        <f>[1]!ArticleMeasureUnit('Detail Verwarm San Vent'!Art_60.52.)</f>
        <v>st</v>
      </c>
      <c r="F80" s="72">
        <f>[1]!ArticleQuantity('Detail Verwarm San Vent'!Art_60.52.)</f>
        <v>3</v>
      </c>
      <c r="G80" s="54"/>
      <c r="H80" s="56"/>
      <c r="I80" s="56">
        <f>IF(RIGHT($D80,1)="-","************",ROUND(IF(NOT(ISNUMBER(G80)),IF(NOT(ISNUMBER(F80)),1,F80),G80)*H80,2))</f>
        <v>0</v>
      </c>
      <c r="J80" s="57"/>
      <c r="K80" s="58"/>
      <c r="L80" s="59"/>
      <c r="M80" s="54"/>
      <c r="N80" s="60"/>
      <c r="O80" s="56">
        <f t="shared" si="14"/>
        <v>0</v>
      </c>
      <c r="P80" s="61" t="str">
        <f t="shared" si="15"/>
        <v/>
      </c>
      <c r="Q80" s="62" t="str">
        <f t="shared" si="16"/>
        <v/>
      </c>
      <c r="R80" s="59"/>
      <c r="S80" s="54"/>
      <c r="T80" s="60"/>
      <c r="U80" s="56">
        <f t="shared" si="17"/>
        <v>0</v>
      </c>
      <c r="V80" s="61" t="str">
        <f t="shared" si="18"/>
        <v/>
      </c>
      <c r="W80" s="62" t="str">
        <f t="shared" si="19"/>
        <v/>
      </c>
      <c r="X80" s="59"/>
      <c r="Y80" s="54"/>
      <c r="Z80" s="60"/>
      <c r="AA80" s="56">
        <f t="shared" si="20"/>
        <v>0</v>
      </c>
      <c r="AB80" s="61" t="str">
        <f t="shared" si="21"/>
        <v/>
      </c>
      <c r="AC80" s="62" t="str">
        <f t="shared" si="22"/>
        <v/>
      </c>
    </row>
    <row r="81" spans="1:29">
      <c r="A81" s="63">
        <f>A80+1</f>
        <v>29</v>
      </c>
      <c r="B81" s="64" t="str">
        <f>[1]!ArticleCode('Detail Verwarm San Vent'!Art_60.53.)</f>
        <v>60.53.</v>
      </c>
      <c r="C81" s="65" t="str">
        <f>[1]!ArticleDescription('Detail Verwarm San Vent'!Art_60.53.)</f>
        <v>sanitaire drukleidingen - leidingisolatie meerprijs prefab  (enkel levering)</v>
      </c>
      <c r="D81" s="54" t="str">
        <f>[1]!ArticleMeasureType('Detail Verwarm San Vent'!Art_60.53.)</f>
        <v>FH</v>
      </c>
      <c r="E81" s="54" t="str">
        <f>[1]!ArticleMeasureUnit('Detail Verwarm San Vent'!Art_60.53.)</f>
        <v>m</v>
      </c>
      <c r="F81" s="73">
        <f>[1]!ArticleQuantity('Detail Verwarm San Vent'!Art_60.53.)</f>
        <v>141.19999999999999</v>
      </c>
      <c r="G81" s="54"/>
      <c r="H81" s="56"/>
      <c r="I81" s="56">
        <f>IF(RIGHT($D81,1)="-","************",ROUND(IF(NOT(ISNUMBER(G81)),IF(NOT(ISNUMBER(F81)),1,F81),G81)*H81,2))</f>
        <v>0</v>
      </c>
      <c r="J81" s="57"/>
      <c r="K81" s="58"/>
      <c r="L81" s="59"/>
      <c r="M81" s="54"/>
      <c r="N81" s="60"/>
      <c r="O81" s="56">
        <f t="shared" si="14"/>
        <v>0</v>
      </c>
      <c r="P81" s="61" t="str">
        <f t="shared" si="15"/>
        <v/>
      </c>
      <c r="Q81" s="62" t="str">
        <f t="shared" si="16"/>
        <v/>
      </c>
      <c r="R81" s="59"/>
      <c r="S81" s="54"/>
      <c r="T81" s="60"/>
      <c r="U81" s="56">
        <f t="shared" si="17"/>
        <v>0</v>
      </c>
      <c r="V81" s="61" t="str">
        <f t="shared" si="18"/>
        <v/>
      </c>
      <c r="W81" s="62" t="str">
        <f t="shared" si="19"/>
        <v/>
      </c>
      <c r="X81" s="59"/>
      <c r="Y81" s="54"/>
      <c r="Z81" s="60"/>
      <c r="AA81" s="56">
        <f t="shared" si="20"/>
        <v>0</v>
      </c>
      <c r="AB81" s="61" t="str">
        <f t="shared" si="21"/>
        <v/>
      </c>
      <c r="AC81" s="62" t="str">
        <f t="shared" si="22"/>
        <v/>
      </c>
    </row>
    <row r="82" spans="1:29">
      <c r="B82" s="64" t="str">
        <f>[1]!ArticleCode('Detail Verwarm San Vent'!Art_60.60.)</f>
        <v>60.60.</v>
      </c>
      <c r="C82" s="65" t="str">
        <f>[1]!ArticleDescription('Detail Verwarm San Vent'!Art_60.60.)</f>
        <v>aansluiting leidingnet - algemeen</v>
      </c>
      <c r="D82" s="54"/>
      <c r="E82" s="54"/>
      <c r="F82" s="54"/>
      <c r="G82" s="54"/>
      <c r="H82" s="56"/>
      <c r="I82" s="56"/>
      <c r="J82" s="57"/>
      <c r="K82" s="58"/>
      <c r="L82" s="59"/>
      <c r="M82" s="54"/>
      <c r="N82" s="60"/>
      <c r="O82" s="56">
        <f t="shared" si="14"/>
        <v>0</v>
      </c>
      <c r="P82" s="61" t="str">
        <f t="shared" si="15"/>
        <v/>
      </c>
      <c r="Q82" s="62" t="str">
        <f t="shared" si="16"/>
        <v/>
      </c>
      <c r="R82" s="59"/>
      <c r="S82" s="54"/>
      <c r="T82" s="60"/>
      <c r="U82" s="56">
        <f t="shared" si="17"/>
        <v>0</v>
      </c>
      <c r="V82" s="61" t="str">
        <f t="shared" si="18"/>
        <v/>
      </c>
      <c r="W82" s="62" t="str">
        <f t="shared" si="19"/>
        <v/>
      </c>
      <c r="X82" s="59"/>
      <c r="Y82" s="54"/>
      <c r="Z82" s="60"/>
      <c r="AA82" s="56">
        <f t="shared" si="20"/>
        <v>0</v>
      </c>
      <c r="AB82" s="61" t="str">
        <f t="shared" si="21"/>
        <v/>
      </c>
      <c r="AC82" s="62" t="str">
        <f t="shared" si="22"/>
        <v/>
      </c>
    </row>
    <row r="83" spans="1:29">
      <c r="A83" s="63">
        <f>A81+1</f>
        <v>30</v>
      </c>
      <c r="B83" s="64" t="str">
        <f>[1]!ArticleCode('Detail Verwarm San Vent'!Art_60.61.)</f>
        <v>60.61.</v>
      </c>
      <c r="C83" s="65" t="str">
        <f>[1]!ArticleDescription('Detail Verwarm San Vent'!Art_60.61.)</f>
        <v xml:space="preserve">aansluiting leidingnet - reglementaire meterstraat </v>
      </c>
      <c r="D83" s="54" t="str">
        <f>[1]!ArticleMeasureType('Detail Verwarm San Vent'!Art_60.61.)</f>
        <v>FH</v>
      </c>
      <c r="E83" s="54" t="str">
        <f>[1]!ArticleMeasureUnit('Detail Verwarm San Vent'!Art_60.61.)</f>
        <v>m</v>
      </c>
      <c r="F83" s="72">
        <f>[1]!ArticleQuantity('Detail Verwarm San Vent'!Art_60.61.)</f>
        <v>20</v>
      </c>
      <c r="G83" s="54"/>
      <c r="H83" s="56"/>
      <c r="I83" s="56">
        <f>IF(RIGHT($D83,1)="-","************",ROUND(IF(NOT(ISNUMBER(G83)),IF(NOT(ISNUMBER(F83)),1,F83),G83)*H83,2))</f>
        <v>0</v>
      </c>
      <c r="J83" s="57"/>
      <c r="K83" s="58"/>
      <c r="L83" s="59"/>
      <c r="M83" s="54"/>
      <c r="N83" s="60"/>
      <c r="O83" s="56">
        <f t="shared" si="14"/>
        <v>0</v>
      </c>
      <c r="P83" s="61" t="str">
        <f t="shared" si="15"/>
        <v/>
      </c>
      <c r="Q83" s="62" t="str">
        <f t="shared" si="16"/>
        <v/>
      </c>
      <c r="R83" s="59"/>
      <c r="S83" s="54"/>
      <c r="T83" s="60"/>
      <c r="U83" s="56">
        <f t="shared" si="17"/>
        <v>0</v>
      </c>
      <c r="V83" s="61" t="str">
        <f t="shared" si="18"/>
        <v/>
      </c>
      <c r="W83" s="62" t="str">
        <f t="shared" si="19"/>
        <v/>
      </c>
      <c r="X83" s="59"/>
      <c r="Y83" s="54"/>
      <c r="Z83" s="60"/>
      <c r="AA83" s="56">
        <f t="shared" si="20"/>
        <v>0</v>
      </c>
      <c r="AB83" s="61" t="str">
        <f t="shared" si="21"/>
        <v/>
      </c>
      <c r="AC83" s="62" t="str">
        <f t="shared" si="22"/>
        <v/>
      </c>
    </row>
    <row r="84" spans="1:29">
      <c r="A84" s="63">
        <f>A83+1</f>
        <v>31</v>
      </c>
      <c r="B84" s="64" t="str">
        <f>[1]!ArticleCode('Detail Verwarm San Vent'!Art_60.62.)</f>
        <v>60.62.</v>
      </c>
      <c r="C84" s="65" t="str">
        <f>[1]!ArticleDescription('Detail Verwarm San Vent'!Art_60.62.)</f>
        <v>aansluiting leidingnet - voedingsleidingen PE Ø32</v>
      </c>
      <c r="D84" s="54" t="str">
        <f>[1]!ArticleMeasureType('Detail Verwarm San Vent'!Art_60.62.)</f>
        <v>FH</v>
      </c>
      <c r="E84" s="54" t="str">
        <f>[1]!ArticleMeasureUnit('Detail Verwarm San Vent'!Art_60.62.)</f>
        <v>st</v>
      </c>
      <c r="F84" s="72">
        <f>[1]!ArticleQuantity('Detail Verwarm San Vent'!Art_60.62.)</f>
        <v>1</v>
      </c>
      <c r="G84" s="54"/>
      <c r="H84" s="56"/>
      <c r="I84" s="56">
        <f>IF(RIGHT($D84,1)="-","************",ROUND(IF(NOT(ISNUMBER(G84)),IF(NOT(ISNUMBER(F84)),1,F84),G84)*H84,2))</f>
        <v>0</v>
      </c>
      <c r="J84" s="57"/>
      <c r="K84" s="58"/>
      <c r="L84" s="59"/>
      <c r="M84" s="54"/>
      <c r="N84" s="60"/>
      <c r="O84" s="56">
        <f t="shared" si="14"/>
        <v>0</v>
      </c>
      <c r="P84" s="61" t="str">
        <f t="shared" si="15"/>
        <v/>
      </c>
      <c r="Q84" s="62" t="str">
        <f t="shared" si="16"/>
        <v/>
      </c>
      <c r="R84" s="59"/>
      <c r="S84" s="54"/>
      <c r="T84" s="60"/>
      <c r="U84" s="56">
        <f t="shared" si="17"/>
        <v>0</v>
      </c>
      <c r="V84" s="61" t="str">
        <f t="shared" si="18"/>
        <v/>
      </c>
      <c r="W84" s="62" t="str">
        <f t="shared" si="19"/>
        <v/>
      </c>
      <c r="X84" s="59"/>
      <c r="Y84" s="54"/>
      <c r="Z84" s="60"/>
      <c r="AA84" s="56">
        <f t="shared" si="20"/>
        <v>0</v>
      </c>
      <c r="AB84" s="61" t="str">
        <f t="shared" si="21"/>
        <v/>
      </c>
      <c r="AC84" s="62" t="str">
        <f t="shared" si="22"/>
        <v/>
      </c>
    </row>
    <row r="85" spans="1:29">
      <c r="A85" s="63">
        <f>A84+1</f>
        <v>32</v>
      </c>
      <c r="B85" s="64" t="str">
        <f>[1]!ArticleCode('Detail Verwarm San Vent'!Art_60.63.)</f>
        <v>60.63.</v>
      </c>
      <c r="C85" s="65" t="str">
        <f>[1]!ArticleDescription('Detail Verwarm San Vent'!Art_60.63.)</f>
        <v xml:space="preserve">aansluiting leidingnet – waterfilters </v>
      </c>
      <c r="D85" s="54" t="str">
        <f>[1]!ArticleMeasureType('Detail Verwarm San Vent'!Art_60.63.)</f>
        <v>FH</v>
      </c>
      <c r="E85" s="54" t="str">
        <f>[1]!ArticleMeasureUnit('Detail Verwarm San Vent'!Art_60.63.)</f>
        <v>st</v>
      </c>
      <c r="F85" s="72">
        <f>[1]!ArticleQuantity('Detail Verwarm San Vent'!Art_60.63.)</f>
        <v>1</v>
      </c>
      <c r="G85" s="54"/>
      <c r="H85" s="56"/>
      <c r="I85" s="56">
        <f>IF(RIGHT($D85,1)="-","************",ROUND(IF(NOT(ISNUMBER(G85)),IF(NOT(ISNUMBER(F85)),1,F85),G85)*H85,2))</f>
        <v>0</v>
      </c>
      <c r="J85" s="57"/>
      <c r="K85" s="58"/>
      <c r="L85" s="59"/>
      <c r="M85" s="54"/>
      <c r="N85" s="60"/>
      <c r="O85" s="56">
        <f t="shared" si="14"/>
        <v>0</v>
      </c>
      <c r="P85" s="61" t="str">
        <f t="shared" si="15"/>
        <v/>
      </c>
      <c r="Q85" s="62" t="str">
        <f t="shared" si="16"/>
        <v/>
      </c>
      <c r="R85" s="59"/>
      <c r="S85" s="54"/>
      <c r="T85" s="60"/>
      <c r="U85" s="56">
        <f t="shared" si="17"/>
        <v>0</v>
      </c>
      <c r="V85" s="61" t="str">
        <f t="shared" si="18"/>
        <v/>
      </c>
      <c r="W85" s="62" t="str">
        <f t="shared" si="19"/>
        <v/>
      </c>
      <c r="X85" s="59"/>
      <c r="Y85" s="54"/>
      <c r="Z85" s="60"/>
      <c r="AA85" s="56">
        <f t="shared" si="20"/>
        <v>0</v>
      </c>
      <c r="AB85" s="61" t="str">
        <f t="shared" si="21"/>
        <v/>
      </c>
      <c r="AC85" s="62" t="str">
        <f t="shared" si="22"/>
        <v/>
      </c>
    </row>
    <row r="86" spans="1:29">
      <c r="B86" s="66"/>
      <c r="C86" s="67"/>
      <c r="D86" s="68"/>
      <c r="E86" s="67"/>
      <c r="F86" s="67"/>
      <c r="G86" s="67"/>
      <c r="H86" s="69"/>
      <c r="I86" s="69"/>
      <c r="J86" s="70">
        <f>SUBTOTAL(9,I62:I85)</f>
        <v>0</v>
      </c>
      <c r="K86" s="58"/>
      <c r="L86" s="59"/>
      <c r="M86" s="54"/>
      <c r="N86" s="60"/>
      <c r="O86" s="56">
        <f t="shared" si="14"/>
        <v>0</v>
      </c>
      <c r="P86" s="61" t="str">
        <f t="shared" si="15"/>
        <v/>
      </c>
      <c r="Q86" s="62" t="str">
        <f t="shared" si="16"/>
        <v/>
      </c>
      <c r="R86" s="59"/>
      <c r="S86" s="54"/>
      <c r="T86" s="60"/>
      <c r="U86" s="56">
        <f t="shared" si="17"/>
        <v>0</v>
      </c>
      <c r="V86" s="61" t="str">
        <f t="shared" si="18"/>
        <v/>
      </c>
      <c r="W86" s="62" t="str">
        <f t="shared" si="19"/>
        <v/>
      </c>
      <c r="X86" s="59"/>
      <c r="Y86" s="54"/>
      <c r="Z86" s="60"/>
      <c r="AA86" s="56">
        <f t="shared" si="20"/>
        <v>0</v>
      </c>
      <c r="AB86" s="61" t="str">
        <f t="shared" si="21"/>
        <v/>
      </c>
      <c r="AC86" s="62" t="str">
        <f t="shared" si="22"/>
        <v/>
      </c>
    </row>
    <row r="87" spans="1:29">
      <c r="B87" s="71"/>
      <c r="C87" s="54"/>
      <c r="D87" s="54"/>
      <c r="E87" s="54"/>
      <c r="F87" s="54"/>
      <c r="G87" s="54"/>
      <c r="H87" s="56"/>
      <c r="I87" s="56"/>
      <c r="J87" s="57"/>
      <c r="K87" s="58"/>
      <c r="L87" s="59"/>
      <c r="M87" s="54"/>
      <c r="N87" s="60"/>
      <c r="O87" s="56">
        <f t="shared" si="14"/>
        <v>0</v>
      </c>
      <c r="P87" s="61" t="str">
        <f t="shared" si="15"/>
        <v/>
      </c>
      <c r="Q87" s="62" t="str">
        <f t="shared" si="16"/>
        <v/>
      </c>
      <c r="R87" s="59"/>
      <c r="S87" s="54"/>
      <c r="T87" s="60"/>
      <c r="U87" s="56">
        <f t="shared" si="17"/>
        <v>0</v>
      </c>
      <c r="V87" s="61" t="str">
        <f t="shared" si="18"/>
        <v/>
      </c>
      <c r="W87" s="62" t="str">
        <f t="shared" si="19"/>
        <v/>
      </c>
      <c r="X87" s="59"/>
      <c r="Y87" s="54"/>
      <c r="Z87" s="60"/>
      <c r="AA87" s="56">
        <f t="shared" si="20"/>
        <v>0</v>
      </c>
      <c r="AB87" s="61" t="str">
        <f t="shared" si="21"/>
        <v/>
      </c>
      <c r="AC87" s="62" t="str">
        <f t="shared" si="22"/>
        <v/>
      </c>
    </row>
    <row r="88" spans="1:29">
      <c r="B88" s="53" t="s">
        <v>465</v>
      </c>
      <c r="C88" s="54"/>
      <c r="D88" s="55"/>
      <c r="E88" s="54"/>
      <c r="F88" s="54"/>
      <c r="G88" s="54"/>
      <c r="H88" s="56"/>
      <c r="I88" s="56"/>
      <c r="J88" s="57"/>
      <c r="K88" s="58"/>
      <c r="L88" s="59"/>
      <c r="M88" s="54"/>
      <c r="N88" s="60"/>
      <c r="O88" s="56">
        <f t="shared" si="14"/>
        <v>0</v>
      </c>
      <c r="P88" s="61" t="str">
        <f t="shared" si="15"/>
        <v/>
      </c>
      <c r="Q88" s="62" t="str">
        <f t="shared" si="16"/>
        <v/>
      </c>
      <c r="R88" s="59"/>
      <c r="S88" s="54"/>
      <c r="T88" s="60"/>
      <c r="U88" s="56">
        <f t="shared" si="17"/>
        <v>0</v>
      </c>
      <c r="V88" s="61" t="str">
        <f t="shared" si="18"/>
        <v/>
      </c>
      <c r="W88" s="62" t="str">
        <f t="shared" si="19"/>
        <v/>
      </c>
      <c r="X88" s="59"/>
      <c r="Y88" s="54"/>
      <c r="Z88" s="60"/>
      <c r="AA88" s="56">
        <f t="shared" si="20"/>
        <v>0</v>
      </c>
      <c r="AB88" s="61" t="str">
        <f t="shared" si="21"/>
        <v/>
      </c>
      <c r="AC88" s="62" t="str">
        <f t="shared" si="22"/>
        <v/>
      </c>
    </row>
    <row r="89" spans="1:29">
      <c r="B89" s="64" t="str">
        <f>[1]!ArticleCode('Detail Verwarm San Vent'!Art_61.)</f>
        <v>61.</v>
      </c>
      <c r="C89" s="65" t="str">
        <f>[1]!ArticleDescription('Detail Verwarm San Vent'!Art_61.)</f>
        <v>SANITAIRE TOESTELLEN &amp; TOEBEHOREN</v>
      </c>
      <c r="D89" s="54"/>
      <c r="E89" s="54"/>
      <c r="F89" s="54"/>
      <c r="G89" s="54"/>
      <c r="H89" s="56"/>
      <c r="I89" s="56"/>
      <c r="J89" s="57"/>
      <c r="K89" s="58"/>
      <c r="L89" s="59"/>
      <c r="M89" s="54"/>
      <c r="N89" s="60"/>
      <c r="O89" s="56">
        <f t="shared" si="14"/>
        <v>0</v>
      </c>
      <c r="P89" s="61" t="str">
        <f t="shared" si="15"/>
        <v/>
      </c>
      <c r="Q89" s="62" t="str">
        <f t="shared" si="16"/>
        <v/>
      </c>
      <c r="R89" s="59"/>
      <c r="S89" s="54"/>
      <c r="T89" s="60"/>
      <c r="U89" s="56">
        <f t="shared" si="17"/>
        <v>0</v>
      </c>
      <c r="V89" s="61" t="str">
        <f t="shared" si="18"/>
        <v/>
      </c>
      <c r="W89" s="62" t="str">
        <f t="shared" si="19"/>
        <v/>
      </c>
      <c r="X89" s="59"/>
      <c r="Y89" s="54"/>
      <c r="Z89" s="60"/>
      <c r="AA89" s="56">
        <f t="shared" si="20"/>
        <v>0</v>
      </c>
      <c r="AB89" s="61" t="str">
        <f t="shared" si="21"/>
        <v/>
      </c>
      <c r="AC89" s="62" t="str">
        <f t="shared" si="22"/>
        <v/>
      </c>
    </row>
    <row r="90" spans="1:29">
      <c r="B90" s="64" t="str">
        <f>[1]!ArticleCode('Detail Verwarm San Vent'!Art_61.00.)</f>
        <v>61.00.</v>
      </c>
      <c r="C90" s="65" t="str">
        <f>[1]!ArticleDescription('Detail Verwarm San Vent'!Art_61.00.)</f>
        <v>sanitaire toestellen en toebehoren - algemeen</v>
      </c>
      <c r="D90" s="54"/>
      <c r="E90" s="54"/>
      <c r="F90" s="54"/>
      <c r="G90" s="54"/>
      <c r="H90" s="56"/>
      <c r="I90" s="56"/>
      <c r="J90" s="57"/>
      <c r="K90" s="58"/>
      <c r="L90" s="59"/>
      <c r="M90" s="54"/>
      <c r="N90" s="60"/>
      <c r="O90" s="56">
        <f t="shared" si="14"/>
        <v>0</v>
      </c>
      <c r="P90" s="61" t="str">
        <f t="shared" si="15"/>
        <v/>
      </c>
      <c r="Q90" s="62" t="str">
        <f t="shared" si="16"/>
        <v/>
      </c>
      <c r="R90" s="59"/>
      <c r="S90" s="54"/>
      <c r="T90" s="60"/>
      <c r="U90" s="56">
        <f t="shared" si="17"/>
        <v>0</v>
      </c>
      <c r="V90" s="61" t="str">
        <f t="shared" si="18"/>
        <v/>
      </c>
      <c r="W90" s="62" t="str">
        <f t="shared" si="19"/>
        <v/>
      </c>
      <c r="X90" s="59"/>
      <c r="Y90" s="54"/>
      <c r="Z90" s="60"/>
      <c r="AA90" s="56">
        <f t="shared" si="20"/>
        <v>0</v>
      </c>
      <c r="AB90" s="61" t="str">
        <f t="shared" si="21"/>
        <v/>
      </c>
      <c r="AC90" s="62" t="str">
        <f t="shared" si="22"/>
        <v/>
      </c>
    </row>
    <row r="91" spans="1:29">
      <c r="B91" s="64" t="str">
        <f>[1]!ArticleCode('Detail Verwarm San Vent'!Art_61.10.)</f>
        <v>61.10.</v>
      </c>
      <c r="C91" s="65" t="str">
        <f>[1]!ArticleDescription('Detail Verwarm San Vent'!Art_61.10.)</f>
        <v>toiletpotten en toebehoren - algemeen</v>
      </c>
      <c r="D91" s="54"/>
      <c r="E91" s="54"/>
      <c r="F91" s="54"/>
      <c r="G91" s="54"/>
      <c r="H91" s="56"/>
      <c r="I91" s="56"/>
      <c r="J91" s="57"/>
      <c r="K91" s="58"/>
      <c r="L91" s="59"/>
      <c r="M91" s="54"/>
      <c r="N91" s="60"/>
      <c r="O91" s="56">
        <f t="shared" si="14"/>
        <v>0</v>
      </c>
      <c r="P91" s="61" t="str">
        <f t="shared" si="15"/>
        <v/>
      </c>
      <c r="Q91" s="62" t="str">
        <f t="shared" si="16"/>
        <v/>
      </c>
      <c r="R91" s="59"/>
      <c r="S91" s="54"/>
      <c r="T91" s="60"/>
      <c r="U91" s="56">
        <f t="shared" si="17"/>
        <v>0</v>
      </c>
      <c r="V91" s="61" t="str">
        <f t="shared" si="18"/>
        <v/>
      </c>
      <c r="W91" s="62" t="str">
        <f t="shared" si="19"/>
        <v/>
      </c>
      <c r="X91" s="59"/>
      <c r="Y91" s="54"/>
      <c r="Z91" s="60"/>
      <c r="AA91" s="56">
        <f t="shared" si="20"/>
        <v>0</v>
      </c>
      <c r="AB91" s="61" t="str">
        <f t="shared" si="21"/>
        <v/>
      </c>
      <c r="AC91" s="62" t="str">
        <f t="shared" si="22"/>
        <v/>
      </c>
    </row>
    <row r="92" spans="1:29">
      <c r="B92" s="64" t="str">
        <f>[1]!ArticleCode('Detail Verwarm San Vent'!Art_61.12.)</f>
        <v>61.12.</v>
      </c>
      <c r="C92" s="65" t="str">
        <f>[1]!ArticleDescription('Detail Verwarm San Vent'!Art_61.12.)</f>
        <v>toiletpotten en toebehoren - hangend</v>
      </c>
      <c r="D92" s="54"/>
      <c r="E92" s="54"/>
      <c r="F92" s="54"/>
      <c r="G92" s="54"/>
      <c r="H92" s="56"/>
      <c r="I92" s="56"/>
      <c r="J92" s="57"/>
      <c r="K92" s="58"/>
      <c r="L92" s="59"/>
      <c r="M92" s="54"/>
      <c r="N92" s="60"/>
      <c r="O92" s="56">
        <f t="shared" si="14"/>
        <v>0</v>
      </c>
      <c r="P92" s="61" t="str">
        <f t="shared" si="15"/>
        <v/>
      </c>
      <c r="Q92" s="62" t="str">
        <f t="shared" si="16"/>
        <v/>
      </c>
      <c r="R92" s="59"/>
      <c r="S92" s="54"/>
      <c r="T92" s="60"/>
      <c r="U92" s="56">
        <f t="shared" si="17"/>
        <v>0</v>
      </c>
      <c r="V92" s="61" t="str">
        <f t="shared" si="18"/>
        <v/>
      </c>
      <c r="W92" s="62" t="str">
        <f t="shared" si="19"/>
        <v/>
      </c>
      <c r="X92" s="59"/>
      <c r="Y92" s="54"/>
      <c r="Z92" s="60"/>
      <c r="AA92" s="56">
        <f t="shared" si="20"/>
        <v>0</v>
      </c>
      <c r="AB92" s="61" t="str">
        <f t="shared" si="21"/>
        <v/>
      </c>
      <c r="AC92" s="62" t="str">
        <f t="shared" si="22"/>
        <v/>
      </c>
    </row>
    <row r="93" spans="1:29">
      <c r="A93" s="63">
        <f>A85+1</f>
        <v>33</v>
      </c>
      <c r="B93" s="64" t="str">
        <f>[1]!ArticleCode('Detail Verwarm San Vent'!Art_61.12.01.)</f>
        <v>61.12.01.</v>
      </c>
      <c r="C93" s="65" t="str">
        <f>[1]!ArticleDescription('Detail Verwarm San Vent'!Art_61.12.01.)</f>
        <v xml:space="preserve">Hangtoilet </v>
      </c>
      <c r="D93" s="54" t="str">
        <f>[1]!ArticleMeasureType('Detail Verwarm San Vent'!Art_61.12.01.)</f>
        <v>FH</v>
      </c>
      <c r="E93" s="54" t="str">
        <f>[1]!ArticleMeasureUnit('Detail Verwarm San Vent'!Art_61.12.01.)</f>
        <v>st</v>
      </c>
      <c r="F93" s="72">
        <f>[1]!ArticleQuantity('Detail Verwarm San Vent'!Art_61.12.01.)</f>
        <v>3</v>
      </c>
      <c r="G93" s="54"/>
      <c r="H93" s="56"/>
      <c r="I93" s="56">
        <f>IF(RIGHT($D93,1)="-","************",ROUND(IF(NOT(ISNUMBER(G93)),IF(NOT(ISNUMBER(F93)),1,F93),G93)*H93,2))</f>
        <v>0</v>
      </c>
      <c r="J93" s="57"/>
      <c r="K93" s="58"/>
      <c r="L93" s="59"/>
      <c r="M93" s="54"/>
      <c r="N93" s="60"/>
      <c r="O93" s="56">
        <f t="shared" si="14"/>
        <v>0</v>
      </c>
      <c r="P93" s="61" t="str">
        <f t="shared" si="15"/>
        <v/>
      </c>
      <c r="Q93" s="62" t="str">
        <f t="shared" si="16"/>
        <v/>
      </c>
      <c r="R93" s="59"/>
      <c r="S93" s="54"/>
      <c r="T93" s="60"/>
      <c r="U93" s="56">
        <f t="shared" si="17"/>
        <v>0</v>
      </c>
      <c r="V93" s="61" t="str">
        <f t="shared" si="18"/>
        <v/>
      </c>
      <c r="W93" s="62" t="str">
        <f t="shared" si="19"/>
        <v/>
      </c>
      <c r="X93" s="59"/>
      <c r="Y93" s="54"/>
      <c r="Z93" s="60"/>
      <c r="AA93" s="56">
        <f t="shared" si="20"/>
        <v>0</v>
      </c>
      <c r="AB93" s="61" t="str">
        <f t="shared" si="21"/>
        <v/>
      </c>
      <c r="AC93" s="62" t="str">
        <f t="shared" si="22"/>
        <v/>
      </c>
    </row>
    <row r="94" spans="1:29">
      <c r="A94" s="63">
        <f>A93+1</f>
        <v>34</v>
      </c>
      <c r="B94" s="64" t="str">
        <f>[1]!ArticleCode('Detail Verwarm San Vent'!Art_61.12.02.)</f>
        <v>61.12.02.</v>
      </c>
      <c r="C94" s="65" t="str">
        <f>[1]!ArticleDescription('Detail Verwarm San Vent'!Art_61.12.02.)</f>
        <v>Hangtoilet – mindervaliden RECUPERATIE BESTAAND TOILET</v>
      </c>
      <c r="D94" s="54" t="str">
        <f>[1]!ArticleMeasureType('Detail Verwarm San Vent'!Art_61.12.02.)</f>
        <v>FH</v>
      </c>
      <c r="E94" s="54" t="str">
        <f>[1]!ArticleMeasureUnit('Detail Verwarm San Vent'!Art_61.12.02.)</f>
        <v>st</v>
      </c>
      <c r="F94" s="72">
        <f>[1]!ArticleQuantity('Detail Verwarm San Vent'!Art_61.12.02.)</f>
        <v>1</v>
      </c>
      <c r="G94" s="54"/>
      <c r="H94" s="56"/>
      <c r="I94" s="56">
        <f>IF(RIGHT($D94,1)="-","************",ROUND(IF(NOT(ISNUMBER(G94)),IF(NOT(ISNUMBER(F94)),1,F94),G94)*H94,2))</f>
        <v>0</v>
      </c>
      <c r="J94" s="57"/>
      <c r="K94" s="58"/>
      <c r="L94" s="59"/>
      <c r="M94" s="54"/>
      <c r="N94" s="60"/>
      <c r="O94" s="56">
        <f t="shared" si="14"/>
        <v>0</v>
      </c>
      <c r="P94" s="61" t="str">
        <f t="shared" si="15"/>
        <v/>
      </c>
      <c r="Q94" s="62" t="str">
        <f t="shared" si="16"/>
        <v/>
      </c>
      <c r="R94" s="59"/>
      <c r="S94" s="54"/>
      <c r="T94" s="60"/>
      <c r="U94" s="56">
        <f t="shared" si="17"/>
        <v>0</v>
      </c>
      <c r="V94" s="61" t="str">
        <f t="shared" si="18"/>
        <v/>
      </c>
      <c r="W94" s="62" t="str">
        <f t="shared" si="19"/>
        <v/>
      </c>
      <c r="X94" s="59"/>
      <c r="Y94" s="54"/>
      <c r="Z94" s="60"/>
      <c r="AA94" s="56">
        <f t="shared" si="20"/>
        <v>0</v>
      </c>
      <c r="AB94" s="61" t="str">
        <f t="shared" si="21"/>
        <v/>
      </c>
      <c r="AC94" s="62" t="str">
        <f t="shared" si="22"/>
        <v/>
      </c>
    </row>
    <row r="95" spans="1:29">
      <c r="A95" s="63">
        <f>A94+1</f>
        <v>35</v>
      </c>
      <c r="B95" s="64" t="str">
        <f>[1]!ArticleCode('Detail Verwarm San Vent'!Art_61.12.03.)</f>
        <v>61.12.03.</v>
      </c>
      <c r="C95" s="65" t="str">
        <f>[1]!ArticleDescription('Detail Verwarm San Vent'!Art_61.12.03.)</f>
        <v>Hangtoilet – toebehoren / enkele jashaak</v>
      </c>
      <c r="D95" s="54" t="str">
        <f>[1]!ArticleMeasureType('Detail Verwarm San Vent'!Art_61.12.03.)</f>
        <v/>
      </c>
      <c r="E95" s="54" t="str">
        <f>[1]!ArticleMeasureUnit('Detail Verwarm San Vent'!Art_61.12.03.)</f>
        <v>PM</v>
      </c>
      <c r="F95" s="72" t="str">
        <f>[1]!ArticleQuantity('Detail Verwarm San Vent'!Art_61.12.03.)</f>
        <v/>
      </c>
      <c r="G95" s="54"/>
      <c r="H95" s="56"/>
      <c r="I95" s="56">
        <f>IF(RIGHT($D95,1)="-","************",ROUND(IF(NOT(ISNUMBER(G95)),IF(NOT(ISNUMBER(F95)),1,F95),G95)*H95,2))</f>
        <v>0</v>
      </c>
      <c r="J95" s="57"/>
      <c r="K95" s="58"/>
      <c r="L95" s="59"/>
      <c r="M95" s="54"/>
      <c r="N95" s="60"/>
      <c r="O95" s="56">
        <f t="shared" si="14"/>
        <v>0</v>
      </c>
      <c r="P95" s="61" t="str">
        <f t="shared" si="15"/>
        <v/>
      </c>
      <c r="Q95" s="62" t="str">
        <f t="shared" si="16"/>
        <v/>
      </c>
      <c r="R95" s="59"/>
      <c r="S95" s="54"/>
      <c r="T95" s="60"/>
      <c r="U95" s="56">
        <f t="shared" si="17"/>
        <v>0</v>
      </c>
      <c r="V95" s="61" t="str">
        <f t="shared" si="18"/>
        <v/>
      </c>
      <c r="W95" s="62" t="str">
        <f t="shared" si="19"/>
        <v/>
      </c>
      <c r="X95" s="59"/>
      <c r="Y95" s="54"/>
      <c r="Z95" s="60"/>
      <c r="AA95" s="56">
        <f t="shared" si="20"/>
        <v>0</v>
      </c>
      <c r="AB95" s="61" t="str">
        <f t="shared" si="21"/>
        <v/>
      </c>
      <c r="AC95" s="62" t="str">
        <f t="shared" si="22"/>
        <v/>
      </c>
    </row>
    <row r="96" spans="1:29">
      <c r="A96" s="63">
        <f>A95+1</f>
        <v>36</v>
      </c>
      <c r="B96" s="64" t="str">
        <f>[1]!ArticleCode(Art_61.12.04.)</f>
        <v>61.12.04.</v>
      </c>
      <c r="C96" s="65" t="str">
        <f>[1]!ArticleDescription(Art_61.12.04.)</f>
        <v>Hangtoilet – toebehoren / wc rol houder + toiletborstelhouder</v>
      </c>
      <c r="D96" s="54" t="str">
        <f>[1]!ArticleMeasureType(Art_61.12.04.)</f>
        <v/>
      </c>
      <c r="E96" s="54" t="str">
        <f>[1]!ArticleMeasureUnit(Art_61.12.04.)</f>
        <v>PM</v>
      </c>
      <c r="F96" s="72" t="str">
        <f>[1]!ArticleQuantity(Art_61.12.04.)</f>
        <v/>
      </c>
      <c r="G96" s="54"/>
      <c r="H96" s="56"/>
      <c r="I96" s="56">
        <f>IF(RIGHT($D96,1)="-","************",ROUND(IF(NOT(ISNUMBER(G96)),IF(NOT(ISNUMBER(F96)),1,F96),G96)*H96,2))</f>
        <v>0</v>
      </c>
      <c r="J96" s="57"/>
      <c r="K96" s="58"/>
      <c r="L96" s="59"/>
      <c r="M96" s="54"/>
      <c r="N96" s="60"/>
      <c r="O96" s="56">
        <f t="shared" si="14"/>
        <v>0</v>
      </c>
      <c r="P96" s="61" t="str">
        <f t="shared" si="15"/>
        <v/>
      </c>
      <c r="Q96" s="62" t="str">
        <f t="shared" si="16"/>
        <v/>
      </c>
      <c r="R96" s="59"/>
      <c r="S96" s="54"/>
      <c r="T96" s="60"/>
      <c r="U96" s="56">
        <f t="shared" si="17"/>
        <v>0</v>
      </c>
      <c r="V96" s="61" t="str">
        <f t="shared" si="18"/>
        <v/>
      </c>
      <c r="W96" s="62" t="str">
        <f t="shared" si="19"/>
        <v/>
      </c>
      <c r="X96" s="59"/>
      <c r="Y96" s="54"/>
      <c r="Z96" s="60"/>
      <c r="AA96" s="56">
        <f t="shared" si="20"/>
        <v>0</v>
      </c>
      <c r="AB96" s="61" t="str">
        <f t="shared" si="21"/>
        <v/>
      </c>
      <c r="AC96" s="62" t="str">
        <f t="shared" si="22"/>
        <v/>
      </c>
    </row>
    <row r="97" spans="1:29">
      <c r="B97" s="64" t="str">
        <f>[1]!ArticleCode('Detail Verwarm San Vent'!Art_61.20.)</f>
        <v>61.20.</v>
      </c>
      <c r="C97" s="65" t="str">
        <f>[1]!ArticleDescription('Detail Verwarm San Vent'!Art_61.20.)</f>
        <v>handwastafels en toebehoren - algemeen</v>
      </c>
      <c r="D97" s="54"/>
      <c r="E97" s="54"/>
      <c r="F97" s="54"/>
      <c r="G97" s="54"/>
      <c r="H97" s="56"/>
      <c r="I97" s="56"/>
      <c r="J97" s="57"/>
      <c r="K97" s="58"/>
      <c r="L97" s="59"/>
      <c r="M97" s="54"/>
      <c r="N97" s="60"/>
      <c r="O97" s="56">
        <f t="shared" si="14"/>
        <v>0</v>
      </c>
      <c r="P97" s="61" t="str">
        <f t="shared" si="15"/>
        <v/>
      </c>
      <c r="Q97" s="62" t="str">
        <f t="shared" si="16"/>
        <v/>
      </c>
      <c r="R97" s="59"/>
      <c r="S97" s="54"/>
      <c r="T97" s="60"/>
      <c r="U97" s="56">
        <f t="shared" si="17"/>
        <v>0</v>
      </c>
      <c r="V97" s="61" t="str">
        <f t="shared" si="18"/>
        <v/>
      </c>
      <c r="W97" s="62" t="str">
        <f t="shared" si="19"/>
        <v/>
      </c>
      <c r="X97" s="59"/>
      <c r="Y97" s="54"/>
      <c r="Z97" s="60"/>
      <c r="AA97" s="56">
        <f t="shared" si="20"/>
        <v>0</v>
      </c>
      <c r="AB97" s="61" t="str">
        <f t="shared" si="21"/>
        <v/>
      </c>
      <c r="AC97" s="62" t="str">
        <f t="shared" si="22"/>
        <v/>
      </c>
    </row>
    <row r="98" spans="1:29">
      <c r="B98" s="64" t="str">
        <f>[1]!ArticleCode('Detail Verwarm San Vent'!Art_61.21.)</f>
        <v>61.21.</v>
      </c>
      <c r="C98" s="65" t="str">
        <f>[1]!ArticleDescription('Detail Verwarm San Vent'!Art_61.21.)</f>
        <v>handwastafels &amp; toebehoren - wandmodel</v>
      </c>
      <c r="D98" s="54"/>
      <c r="E98" s="54"/>
      <c r="F98" s="54"/>
      <c r="G98" s="54"/>
      <c r="H98" s="56"/>
      <c r="I98" s="56"/>
      <c r="J98" s="57"/>
      <c r="K98" s="58"/>
      <c r="L98" s="59"/>
      <c r="M98" s="54"/>
      <c r="N98" s="60"/>
      <c r="O98" s="56">
        <f t="shared" si="14"/>
        <v>0</v>
      </c>
      <c r="P98" s="61" t="str">
        <f t="shared" si="15"/>
        <v/>
      </c>
      <c r="Q98" s="62" t="str">
        <f t="shared" si="16"/>
        <v/>
      </c>
      <c r="R98" s="59"/>
      <c r="S98" s="54"/>
      <c r="T98" s="60"/>
      <c r="U98" s="56">
        <f t="shared" si="17"/>
        <v>0</v>
      </c>
      <c r="V98" s="61" t="str">
        <f t="shared" si="18"/>
        <v/>
      </c>
      <c r="W98" s="62" t="str">
        <f t="shared" si="19"/>
        <v/>
      </c>
      <c r="X98" s="59"/>
      <c r="Y98" s="54"/>
      <c r="Z98" s="60"/>
      <c r="AA98" s="56">
        <f t="shared" si="20"/>
        <v>0</v>
      </c>
      <c r="AB98" s="61" t="str">
        <f t="shared" si="21"/>
        <v/>
      </c>
      <c r="AC98" s="62" t="str">
        <f t="shared" si="22"/>
        <v/>
      </c>
    </row>
    <row r="99" spans="1:29">
      <c r="A99" s="63">
        <f>A96+1</f>
        <v>37</v>
      </c>
      <c r="B99" s="64" t="str">
        <f>[1]!ArticleCode('Detail Verwarm San Vent'!Art_61.21.11.)</f>
        <v>61.21.11.</v>
      </c>
      <c r="C99" s="65" t="str">
        <f>[1]!ArticleDescription('Detail Verwarm San Vent'!Art_61.21.11.)</f>
        <v>handwastafels &amp; toebehoren - wandmodel mindervaliden RECUPERATIE BESTAANDE WASTAFEL</v>
      </c>
      <c r="D99" s="54" t="str">
        <f>[1]!ArticleMeasureType('Detail Verwarm San Vent'!Art_61.21.11.)</f>
        <v>FH</v>
      </c>
      <c r="E99" s="54" t="str">
        <f>[1]!ArticleMeasureUnit('Detail Verwarm San Vent'!Art_61.21.11.)</f>
        <v>st</v>
      </c>
      <c r="F99" s="72">
        <f>[1]!ArticleQuantity('Detail Verwarm San Vent'!Art_61.21.11.)</f>
        <v>1</v>
      </c>
      <c r="G99" s="54"/>
      <c r="H99" s="56"/>
      <c r="I99" s="56">
        <f>IF(RIGHT($D99,1)="-","************",ROUND(IF(NOT(ISNUMBER(G99)),IF(NOT(ISNUMBER(F99)),1,F99),G99)*H99,2))</f>
        <v>0</v>
      </c>
      <c r="J99" s="57"/>
      <c r="K99" s="58"/>
      <c r="L99" s="59"/>
      <c r="M99" s="54"/>
      <c r="N99" s="60"/>
      <c r="O99" s="56">
        <f t="shared" si="14"/>
        <v>0</v>
      </c>
      <c r="P99" s="61" t="str">
        <f t="shared" si="15"/>
        <v/>
      </c>
      <c r="Q99" s="62" t="str">
        <f t="shared" si="16"/>
        <v/>
      </c>
      <c r="R99" s="59"/>
      <c r="S99" s="54"/>
      <c r="T99" s="60"/>
      <c r="U99" s="56">
        <f t="shared" si="17"/>
        <v>0</v>
      </c>
      <c r="V99" s="61" t="str">
        <f t="shared" si="18"/>
        <v/>
      </c>
      <c r="W99" s="62" t="str">
        <f t="shared" si="19"/>
        <v/>
      </c>
      <c r="X99" s="59"/>
      <c r="Y99" s="54"/>
      <c r="Z99" s="60"/>
      <c r="AA99" s="56">
        <f t="shared" si="20"/>
        <v>0</v>
      </c>
      <c r="AB99" s="61" t="str">
        <f t="shared" si="21"/>
        <v/>
      </c>
      <c r="AC99" s="62" t="str">
        <f t="shared" si="22"/>
        <v/>
      </c>
    </row>
    <row r="100" spans="1:29">
      <c r="B100" s="64" t="str">
        <f>[1]!ArticleCode('Detail Verwarm San Vent'!Art_61.30.)</f>
        <v>61.30.</v>
      </c>
      <c r="C100" s="65" t="str">
        <f>[1]!ArticleDescription('Detail Verwarm San Vent'!Art_61.30.)</f>
        <v>wastafels en toebehoren - algemeen</v>
      </c>
      <c r="D100" s="54"/>
      <c r="E100" s="54"/>
      <c r="F100" s="54"/>
      <c r="G100" s="54"/>
      <c r="H100" s="56"/>
      <c r="I100" s="56"/>
      <c r="J100" s="57"/>
      <c r="K100" s="58"/>
      <c r="L100" s="59"/>
      <c r="M100" s="54"/>
      <c r="N100" s="60"/>
      <c r="O100" s="56">
        <f t="shared" si="14"/>
        <v>0</v>
      </c>
      <c r="P100" s="61" t="str">
        <f t="shared" si="15"/>
        <v/>
      </c>
      <c r="Q100" s="62" t="str">
        <f t="shared" si="16"/>
        <v/>
      </c>
      <c r="R100" s="59"/>
      <c r="S100" s="54"/>
      <c r="T100" s="60"/>
      <c r="U100" s="56">
        <f t="shared" si="17"/>
        <v>0</v>
      </c>
      <c r="V100" s="61" t="str">
        <f t="shared" si="18"/>
        <v/>
      </c>
      <c r="W100" s="62" t="str">
        <f t="shared" si="19"/>
        <v/>
      </c>
      <c r="X100" s="59"/>
      <c r="Y100" s="54"/>
      <c r="Z100" s="60"/>
      <c r="AA100" s="56">
        <f t="shared" si="20"/>
        <v>0</v>
      </c>
      <c r="AB100" s="61" t="str">
        <f t="shared" si="21"/>
        <v/>
      </c>
      <c r="AC100" s="62" t="str">
        <f t="shared" si="22"/>
        <v/>
      </c>
    </row>
    <row r="101" spans="1:29">
      <c r="A101" s="63">
        <f>A99+1</f>
        <v>38</v>
      </c>
      <c r="B101" s="64" t="str">
        <f>[1]!ArticleCode('Detail Verwarm San Vent'!Art_61.32.)</f>
        <v>61.32.</v>
      </c>
      <c r="C101" s="65" t="str">
        <f>[1]!ArticleDescription('Detail Verwarm San Vent'!Art_61.32.)</f>
        <v>wastafels en toebehoren - gootmodel - lengte 180cm</v>
      </c>
      <c r="D101" s="54" t="str">
        <f>[1]!ArticleMeasureType('Detail Verwarm San Vent'!Art_61.32.)</f>
        <v>FH</v>
      </c>
      <c r="E101" s="54" t="str">
        <f>[1]!ArticleMeasureUnit('Detail Verwarm San Vent'!Art_61.32.)</f>
        <v>st</v>
      </c>
      <c r="F101" s="72">
        <f>[1]!ArticleQuantity('Detail Verwarm San Vent'!Art_61.32.)</f>
        <v>1</v>
      </c>
      <c r="G101" s="54"/>
      <c r="H101" s="56"/>
      <c r="I101" s="56">
        <f>IF(RIGHT($D101,1)="-","************",ROUND(IF(NOT(ISNUMBER(G101)),IF(NOT(ISNUMBER(F101)),1,F101),G101)*H101,2))</f>
        <v>0</v>
      </c>
      <c r="J101" s="57"/>
      <c r="K101" s="58"/>
      <c r="L101" s="59"/>
      <c r="M101" s="54"/>
      <c r="N101" s="60"/>
      <c r="O101" s="56">
        <f t="shared" si="14"/>
        <v>0</v>
      </c>
      <c r="P101" s="61" t="str">
        <f t="shared" si="15"/>
        <v/>
      </c>
      <c r="Q101" s="62" t="str">
        <f t="shared" si="16"/>
        <v/>
      </c>
      <c r="R101" s="59"/>
      <c r="S101" s="54"/>
      <c r="T101" s="60"/>
      <c r="U101" s="56">
        <f t="shared" si="17"/>
        <v>0</v>
      </c>
      <c r="V101" s="61" t="str">
        <f t="shared" si="18"/>
        <v/>
      </c>
      <c r="W101" s="62" t="str">
        <f t="shared" si="19"/>
        <v/>
      </c>
      <c r="X101" s="59"/>
      <c r="Y101" s="54"/>
      <c r="Z101" s="60"/>
      <c r="AA101" s="56">
        <f t="shared" si="20"/>
        <v>0</v>
      </c>
      <c r="AB101" s="61" t="str">
        <f t="shared" si="21"/>
        <v/>
      </c>
      <c r="AC101" s="62" t="str">
        <f t="shared" si="22"/>
        <v/>
      </c>
    </row>
    <row r="102" spans="1:29">
      <c r="B102" s="64" t="str">
        <f>[1]!ArticleCode('Detail Verwarm San Vent'!Art_61.60.)</f>
        <v>61.60.</v>
      </c>
      <c r="C102" s="65" t="str">
        <f>[1]!ArticleDescription('Detail Verwarm San Vent'!Art_61.60.)</f>
        <v>speciale toebehoren - algemeen</v>
      </c>
      <c r="D102" s="54"/>
      <c r="E102" s="54"/>
      <c r="F102" s="54"/>
      <c r="G102" s="54"/>
      <c r="H102" s="56"/>
      <c r="I102" s="56"/>
      <c r="J102" s="57"/>
      <c r="K102" s="58"/>
      <c r="L102" s="59"/>
      <c r="M102" s="54"/>
      <c r="N102" s="60"/>
      <c r="O102" s="56">
        <f t="shared" si="14"/>
        <v>0</v>
      </c>
      <c r="P102" s="61" t="str">
        <f t="shared" si="15"/>
        <v/>
      </c>
      <c r="Q102" s="62" t="str">
        <f t="shared" si="16"/>
        <v/>
      </c>
      <c r="R102" s="59"/>
      <c r="S102" s="54"/>
      <c r="T102" s="60"/>
      <c r="U102" s="56">
        <f t="shared" si="17"/>
        <v>0</v>
      </c>
      <c r="V102" s="61" t="str">
        <f t="shared" si="18"/>
        <v/>
      </c>
      <c r="W102" s="62" t="str">
        <f t="shared" si="19"/>
        <v/>
      </c>
      <c r="X102" s="59"/>
      <c r="Y102" s="54"/>
      <c r="Z102" s="60"/>
      <c r="AA102" s="56">
        <f t="shared" si="20"/>
        <v>0</v>
      </c>
      <c r="AB102" s="61" t="str">
        <f t="shared" si="21"/>
        <v/>
      </c>
      <c r="AC102" s="62" t="str">
        <f t="shared" si="22"/>
        <v/>
      </c>
    </row>
    <row r="103" spans="1:29">
      <c r="B103" s="64" t="str">
        <f>[1]!ArticleCode('Detail Verwarm San Vent'!Art_61.63.)</f>
        <v>61.63.</v>
      </c>
      <c r="C103" s="65" t="str">
        <f>[1]!ArticleDescription('Detail Verwarm San Vent'!Art_61.63.)</f>
        <v>speciale toebehoren - muurhandgrepen</v>
      </c>
      <c r="D103" s="54"/>
      <c r="E103" s="54"/>
      <c r="F103" s="54"/>
      <c r="G103" s="54"/>
      <c r="H103" s="56"/>
      <c r="I103" s="56"/>
      <c r="J103" s="57"/>
      <c r="K103" s="58"/>
      <c r="L103" s="59"/>
      <c r="M103" s="54"/>
      <c r="N103" s="60"/>
      <c r="O103" s="56">
        <f t="shared" si="14"/>
        <v>0</v>
      </c>
      <c r="P103" s="61" t="str">
        <f t="shared" si="15"/>
        <v/>
      </c>
      <c r="Q103" s="62" t="str">
        <f t="shared" si="16"/>
        <v/>
      </c>
      <c r="R103" s="59"/>
      <c r="S103" s="54"/>
      <c r="T103" s="60"/>
      <c r="U103" s="56">
        <f t="shared" si="17"/>
        <v>0</v>
      </c>
      <c r="V103" s="61" t="str">
        <f t="shared" si="18"/>
        <v/>
      </c>
      <c r="W103" s="62" t="str">
        <f t="shared" si="19"/>
        <v/>
      </c>
      <c r="X103" s="59"/>
      <c r="Y103" s="54"/>
      <c r="Z103" s="60"/>
      <c r="AA103" s="56">
        <f t="shared" si="20"/>
        <v>0</v>
      </c>
      <c r="AB103" s="61" t="str">
        <f t="shared" si="21"/>
        <v/>
      </c>
      <c r="AC103" s="62" t="str">
        <f t="shared" si="22"/>
        <v/>
      </c>
    </row>
    <row r="104" spans="1:29">
      <c r="A104" s="63">
        <f>A101+1</f>
        <v>39</v>
      </c>
      <c r="B104" s="64" t="str">
        <f>[1]!ArticleCode('Detail Verwarm San Vent'!Art_61.63.01.)</f>
        <v>61.63.01.</v>
      </c>
      <c r="C104" s="65" t="str">
        <f>[1]!ArticleDescription('Detail Verwarm San Vent'!Art_61.63.01.)</f>
        <v>muurhandgreep – vast</v>
      </c>
      <c r="D104" s="54" t="str">
        <f>[1]!ArticleMeasureType('Detail Verwarm San Vent'!Art_61.63.01.)</f>
        <v>FH</v>
      </c>
      <c r="E104" s="54" t="str">
        <f>[1]!ArticleMeasureUnit('Detail Verwarm San Vent'!Art_61.63.01.)</f>
        <v>st</v>
      </c>
      <c r="F104" s="72">
        <f>[1]!ArticleQuantity('Detail Verwarm San Vent'!Art_61.63.01.)</f>
        <v>1</v>
      </c>
      <c r="G104" s="54"/>
      <c r="H104" s="56"/>
      <c r="I104" s="56">
        <f>IF(RIGHT($D104,1)="-","************",ROUND(IF(NOT(ISNUMBER(G104)),IF(NOT(ISNUMBER(F104)),1,F104),G104)*H104,2))</f>
        <v>0</v>
      </c>
      <c r="J104" s="57"/>
      <c r="K104" s="58"/>
      <c r="L104" s="59"/>
      <c r="M104" s="54"/>
      <c r="N104" s="60"/>
      <c r="O104" s="56">
        <f t="shared" si="14"/>
        <v>0</v>
      </c>
      <c r="P104" s="61" t="str">
        <f t="shared" ref="P104:P135" si="23">IF(O$228=0,"",O104/O$228)</f>
        <v/>
      </c>
      <c r="Q104" s="62" t="str">
        <f t="shared" si="16"/>
        <v/>
      </c>
      <c r="R104" s="59"/>
      <c r="S104" s="54"/>
      <c r="T104" s="60"/>
      <c r="U104" s="56">
        <f t="shared" si="17"/>
        <v>0</v>
      </c>
      <c r="V104" s="61" t="str">
        <f t="shared" ref="V104:V135" si="24">IF(U$228=0,"",U104/U$228)</f>
        <v/>
      </c>
      <c r="W104" s="62" t="str">
        <f t="shared" si="19"/>
        <v/>
      </c>
      <c r="X104" s="59"/>
      <c r="Y104" s="54"/>
      <c r="Z104" s="60"/>
      <c r="AA104" s="56">
        <f t="shared" si="20"/>
        <v>0</v>
      </c>
      <c r="AB104" s="61" t="str">
        <f t="shared" ref="AB104:AB135" si="25">IF(AA$228=0,"",AA104/AA$228)</f>
        <v/>
      </c>
      <c r="AC104" s="62" t="str">
        <f t="shared" si="22"/>
        <v/>
      </c>
    </row>
    <row r="105" spans="1:29">
      <c r="A105" s="63">
        <f>A104+1</f>
        <v>40</v>
      </c>
      <c r="B105" s="64" t="str">
        <f>[1]!ArticleCode('Detail Verwarm San Vent'!Art_61.63.02.)</f>
        <v>61.63.02.</v>
      </c>
      <c r="C105" s="65" t="str">
        <f>[1]!ArticleDescription('Detail Verwarm San Vent'!Art_61.63.02.)</f>
        <v>muurhandgreep – opklapbaar</v>
      </c>
      <c r="D105" s="54" t="str">
        <f>[1]!ArticleMeasureType('Detail Verwarm San Vent'!Art_61.63.02.)</f>
        <v>FH</v>
      </c>
      <c r="E105" s="54" t="str">
        <f>[1]!ArticleMeasureUnit('Detail Verwarm San Vent'!Art_61.63.02.)</f>
        <v>st</v>
      </c>
      <c r="F105" s="72">
        <f>[1]!ArticleQuantity('Detail Verwarm San Vent'!Art_61.63.02.)</f>
        <v>1</v>
      </c>
      <c r="G105" s="54"/>
      <c r="H105" s="56"/>
      <c r="I105" s="56">
        <f>IF(RIGHT($D105,1)="-","************",ROUND(IF(NOT(ISNUMBER(G105)),IF(NOT(ISNUMBER(F105)),1,F105),G105)*H105,2))</f>
        <v>0</v>
      </c>
      <c r="J105" s="57"/>
      <c r="K105" s="58"/>
      <c r="L105" s="59"/>
      <c r="M105" s="54"/>
      <c r="N105" s="60"/>
      <c r="O105" s="56">
        <f t="shared" si="14"/>
        <v>0</v>
      </c>
      <c r="P105" s="61" t="str">
        <f t="shared" si="23"/>
        <v/>
      </c>
      <c r="Q105" s="62" t="str">
        <f t="shared" si="16"/>
        <v/>
      </c>
      <c r="R105" s="59"/>
      <c r="S105" s="54"/>
      <c r="T105" s="60"/>
      <c r="U105" s="56">
        <f t="shared" si="17"/>
        <v>0</v>
      </c>
      <c r="V105" s="61" t="str">
        <f t="shared" si="24"/>
        <v/>
      </c>
      <c r="W105" s="62" t="str">
        <f t="shared" si="19"/>
        <v/>
      </c>
      <c r="X105" s="59"/>
      <c r="Y105" s="54"/>
      <c r="Z105" s="60"/>
      <c r="AA105" s="56">
        <f t="shared" si="20"/>
        <v>0</v>
      </c>
      <c r="AB105" s="61" t="str">
        <f t="shared" si="25"/>
        <v/>
      </c>
      <c r="AC105" s="62" t="str">
        <f t="shared" si="22"/>
        <v/>
      </c>
    </row>
    <row r="106" spans="1:29">
      <c r="B106" s="64" t="str">
        <f>[1]!ArticleCode('Detail Verwarm San Vent'!Art_61.70.)</f>
        <v>61.70.</v>
      </c>
      <c r="C106" s="65" t="str">
        <f>[1]!ArticleDescription('Detail Verwarm San Vent'!Art_61.70.)</f>
        <v>afwastafels - algemeen</v>
      </c>
      <c r="D106" s="54"/>
      <c r="E106" s="54"/>
      <c r="F106" s="54"/>
      <c r="G106" s="54"/>
      <c r="H106" s="56"/>
      <c r="I106" s="56"/>
      <c r="J106" s="57"/>
      <c r="K106" s="58"/>
      <c r="L106" s="59"/>
      <c r="M106" s="54"/>
      <c r="N106" s="60"/>
      <c r="O106" s="56">
        <f t="shared" si="14"/>
        <v>0</v>
      </c>
      <c r="P106" s="61" t="str">
        <f t="shared" si="23"/>
        <v/>
      </c>
      <c r="Q106" s="62" t="str">
        <f t="shared" si="16"/>
        <v/>
      </c>
      <c r="R106" s="59"/>
      <c r="S106" s="54"/>
      <c r="T106" s="60"/>
      <c r="U106" s="56">
        <f t="shared" si="17"/>
        <v>0</v>
      </c>
      <c r="V106" s="61" t="str">
        <f t="shared" si="24"/>
        <v/>
      </c>
      <c r="W106" s="62" t="str">
        <f t="shared" si="19"/>
        <v/>
      </c>
      <c r="X106" s="59"/>
      <c r="Y106" s="54"/>
      <c r="Z106" s="60"/>
      <c r="AA106" s="56">
        <f t="shared" si="20"/>
        <v>0</v>
      </c>
      <c r="AB106" s="61" t="str">
        <f t="shared" si="25"/>
        <v/>
      </c>
      <c r="AC106" s="62" t="str">
        <f t="shared" si="22"/>
        <v/>
      </c>
    </row>
    <row r="107" spans="1:29">
      <c r="B107" s="64" t="str">
        <f>[1]!ArticleCode('Detail Verwarm San Vent'!Art_61.72.)</f>
        <v>61.72.</v>
      </c>
      <c r="C107" s="65" t="str">
        <f>[1]!ArticleDescription('Detail Verwarm San Vent'!Art_61.72.)</f>
        <v>afwastafels - inbouwmodel</v>
      </c>
      <c r="D107" s="54"/>
      <c r="E107" s="54"/>
      <c r="F107" s="54"/>
      <c r="G107" s="54"/>
      <c r="H107" s="56"/>
      <c r="I107" s="56"/>
      <c r="J107" s="57"/>
      <c r="K107" s="58"/>
      <c r="L107" s="59"/>
      <c r="M107" s="54"/>
      <c r="N107" s="60"/>
      <c r="O107" s="56">
        <f t="shared" si="14"/>
        <v>0</v>
      </c>
      <c r="P107" s="61" t="str">
        <f t="shared" si="23"/>
        <v/>
      </c>
      <c r="Q107" s="62" t="str">
        <f t="shared" si="16"/>
        <v/>
      </c>
      <c r="R107" s="59"/>
      <c r="S107" s="54"/>
      <c r="T107" s="60"/>
      <c r="U107" s="56">
        <f t="shared" si="17"/>
        <v>0</v>
      </c>
      <c r="V107" s="61" t="str">
        <f t="shared" si="24"/>
        <v/>
      </c>
      <c r="W107" s="62" t="str">
        <f t="shared" si="19"/>
        <v/>
      </c>
      <c r="X107" s="59"/>
      <c r="Y107" s="54"/>
      <c r="Z107" s="60"/>
      <c r="AA107" s="56">
        <f t="shared" si="20"/>
        <v>0</v>
      </c>
      <c r="AB107" s="61" t="str">
        <f t="shared" si="25"/>
        <v/>
      </c>
      <c r="AC107" s="62" t="str">
        <f t="shared" si="22"/>
        <v/>
      </c>
    </row>
    <row r="108" spans="1:29">
      <c r="A108" s="63">
        <f>A105+1</f>
        <v>41</v>
      </c>
      <c r="B108" s="64" t="str">
        <f>[1]!ArticleCode('Detail Verwarm San Vent'!Art_61.72.10.)</f>
        <v>61.72.10.</v>
      </c>
      <c r="C108" s="65" t="str">
        <f>[1]!ArticleDescription('Detail Verwarm San Vent'!Art_61.72.10.)</f>
        <v>afwastafels - inbouwmodel/roestvast staal (RVS) dubbel RECUPERATIE BESTAANDE SPOELBAK</v>
      </c>
      <c r="D108" s="54" t="str">
        <f>[1]!ArticleMeasureType('Detail Verwarm San Vent'!Art_61.72.10.)</f>
        <v>FH</v>
      </c>
      <c r="E108" s="54" t="str">
        <f>[1]!ArticleMeasureUnit('Detail Verwarm San Vent'!Art_61.72.10.)</f>
        <v>st</v>
      </c>
      <c r="F108" s="72">
        <f>[1]!ArticleQuantity('Detail Verwarm San Vent'!Art_61.72.10.)</f>
        <v>1</v>
      </c>
      <c r="G108" s="54"/>
      <c r="H108" s="56"/>
      <c r="I108" s="56">
        <f>IF(RIGHT($D108,1)="-","************",ROUND(IF(NOT(ISNUMBER(G108)),IF(NOT(ISNUMBER(F108)),1,F108),G108)*H108,2))</f>
        <v>0</v>
      </c>
      <c r="J108" s="57"/>
      <c r="K108" s="58"/>
      <c r="L108" s="59"/>
      <c r="M108" s="54"/>
      <c r="N108" s="60"/>
      <c r="O108" s="56">
        <f t="shared" si="14"/>
        <v>0</v>
      </c>
      <c r="P108" s="61" t="str">
        <f t="shared" si="23"/>
        <v/>
      </c>
      <c r="Q108" s="62" t="str">
        <f t="shared" si="16"/>
        <v/>
      </c>
      <c r="R108" s="59"/>
      <c r="S108" s="54"/>
      <c r="T108" s="60"/>
      <c r="U108" s="56">
        <f t="shared" si="17"/>
        <v>0</v>
      </c>
      <c r="V108" s="61" t="str">
        <f t="shared" si="24"/>
        <v/>
      </c>
      <c r="W108" s="62" t="str">
        <f t="shared" si="19"/>
        <v/>
      </c>
      <c r="X108" s="59"/>
      <c r="Y108" s="54"/>
      <c r="Z108" s="60"/>
      <c r="AA108" s="56">
        <f t="shared" si="20"/>
        <v>0</v>
      </c>
      <c r="AB108" s="61" t="str">
        <f t="shared" si="25"/>
        <v/>
      </c>
      <c r="AC108" s="62" t="str">
        <f t="shared" si="22"/>
        <v/>
      </c>
    </row>
    <row r="109" spans="1:29">
      <c r="A109" s="63">
        <f>A108+1</f>
        <v>42</v>
      </c>
      <c r="B109" s="64" t="str">
        <f>[1]!ArticleCode(Art_61.72.11.)</f>
        <v>61.72.11.</v>
      </c>
      <c r="C109" s="65" t="str">
        <f>[1]!ArticleDescription(Art_61.72.11.)</f>
        <v>afwastafels - inbouwmodel/roestvast staal (RVS) enkel</v>
      </c>
      <c r="D109" s="54" t="str">
        <f>[1]!ArticleMeasureType(Art_61.72.11.)</f>
        <v>FH</v>
      </c>
      <c r="E109" s="54" t="str">
        <f>[1]!ArticleMeasureUnit(Art_61.72.11.)</f>
        <v>st</v>
      </c>
      <c r="F109" s="72">
        <f>[1]!ArticleQuantity(Art_61.72.11.)</f>
        <v>1</v>
      </c>
      <c r="G109" s="54"/>
      <c r="H109" s="56"/>
      <c r="I109" s="56">
        <f>IF(RIGHT($D109,1)="-","************",ROUND(IF(NOT(ISNUMBER(G109)),IF(NOT(ISNUMBER(F109)),1,F109),G109)*H109,2))</f>
        <v>0</v>
      </c>
      <c r="J109" s="57"/>
      <c r="K109" s="58"/>
      <c r="L109" s="59"/>
      <c r="M109" s="54"/>
      <c r="N109" s="60"/>
      <c r="O109" s="56">
        <f t="shared" si="14"/>
        <v>0</v>
      </c>
      <c r="P109" s="61" t="str">
        <f t="shared" si="23"/>
        <v/>
      </c>
      <c r="Q109" s="62" t="str">
        <f t="shared" si="16"/>
        <v/>
      </c>
      <c r="R109" s="59"/>
      <c r="S109" s="54"/>
      <c r="T109" s="60"/>
      <c r="U109" s="56">
        <f t="shared" si="17"/>
        <v>0</v>
      </c>
      <c r="V109" s="61" t="str">
        <f t="shared" si="24"/>
        <v/>
      </c>
      <c r="W109" s="62" t="str">
        <f t="shared" si="19"/>
        <v/>
      </c>
      <c r="X109" s="59"/>
      <c r="Y109" s="54"/>
      <c r="Z109" s="60"/>
      <c r="AA109" s="56">
        <f t="shared" si="20"/>
        <v>0</v>
      </c>
      <c r="AB109" s="61" t="str">
        <f t="shared" si="25"/>
        <v/>
      </c>
      <c r="AC109" s="62" t="str">
        <f t="shared" si="22"/>
        <v/>
      </c>
    </row>
    <row r="110" spans="1:29">
      <c r="B110" s="64" t="str">
        <f>[1]!ArticleCode('Detail Verwarm San Vent'!Art_61.80.)</f>
        <v>61.80.</v>
      </c>
      <c r="C110" s="65" t="str">
        <f>[1]!ArticleDescription('Detail Verwarm San Vent'!Art_61.80.)</f>
        <v>uitgietbakken - algemeen</v>
      </c>
      <c r="D110" s="54"/>
      <c r="E110" s="54"/>
      <c r="F110" s="54"/>
      <c r="G110" s="54"/>
      <c r="H110" s="56"/>
      <c r="I110" s="56"/>
      <c r="J110" s="57"/>
      <c r="K110" s="58"/>
      <c r="L110" s="59"/>
      <c r="M110" s="54"/>
      <c r="N110" s="60"/>
      <c r="O110" s="56">
        <f t="shared" si="14"/>
        <v>0</v>
      </c>
      <c r="P110" s="61" t="str">
        <f t="shared" si="23"/>
        <v/>
      </c>
      <c r="Q110" s="62" t="str">
        <f t="shared" si="16"/>
        <v/>
      </c>
      <c r="R110" s="59"/>
      <c r="S110" s="54"/>
      <c r="T110" s="60"/>
      <c r="U110" s="56">
        <f t="shared" si="17"/>
        <v>0</v>
      </c>
      <c r="V110" s="61" t="str">
        <f t="shared" si="24"/>
        <v/>
      </c>
      <c r="W110" s="62" t="str">
        <f t="shared" si="19"/>
        <v/>
      </c>
      <c r="X110" s="59"/>
      <c r="Y110" s="54"/>
      <c r="Z110" s="60"/>
      <c r="AA110" s="56">
        <f t="shared" si="20"/>
        <v>0</v>
      </c>
      <c r="AB110" s="61" t="str">
        <f t="shared" si="25"/>
        <v/>
      </c>
      <c r="AC110" s="62" t="str">
        <f t="shared" si="22"/>
        <v/>
      </c>
    </row>
    <row r="111" spans="1:29">
      <c r="A111" s="63">
        <f>A109+1</f>
        <v>43</v>
      </c>
      <c r="B111" s="64" t="str">
        <f>[1]!ArticleCode('Detail Verwarm San Vent'!Art_61.81.)</f>
        <v>61.81.</v>
      </c>
      <c r="C111" s="65" t="str">
        <f>[1]!ArticleDescription('Detail Verwarm San Vent'!Art_61.81.)</f>
        <v xml:space="preserve">uitgietbakken - sanitair porselein </v>
      </c>
      <c r="D111" s="54" t="str">
        <f>[1]!ArticleMeasureType('Detail Verwarm San Vent'!Art_61.81.)</f>
        <v>FH</v>
      </c>
      <c r="E111" s="54" t="str">
        <f>[1]!ArticleMeasureUnit('Detail Verwarm San Vent'!Art_61.81.)</f>
        <v>st</v>
      </c>
      <c r="F111" s="72">
        <f>[1]!ArticleQuantity('Detail Verwarm San Vent'!Art_61.81.)</f>
        <v>3</v>
      </c>
      <c r="G111" s="54"/>
      <c r="H111" s="56"/>
      <c r="I111" s="56">
        <f>IF(RIGHT($D111,1)="-","************",ROUND(IF(NOT(ISNUMBER(G111)),IF(NOT(ISNUMBER(F111)),1,F111),G111)*H111,2))</f>
        <v>0</v>
      </c>
      <c r="J111" s="57"/>
      <c r="K111" s="58"/>
      <c r="L111" s="59"/>
      <c r="M111" s="54"/>
      <c r="N111" s="60"/>
      <c r="O111" s="56">
        <f t="shared" si="14"/>
        <v>0</v>
      </c>
      <c r="P111" s="61" t="str">
        <f t="shared" si="23"/>
        <v/>
      </c>
      <c r="Q111" s="62" t="str">
        <f t="shared" si="16"/>
        <v/>
      </c>
      <c r="R111" s="59"/>
      <c r="S111" s="54"/>
      <c r="T111" s="60"/>
      <c r="U111" s="56">
        <f t="shared" si="17"/>
        <v>0</v>
      </c>
      <c r="V111" s="61" t="str">
        <f t="shared" si="24"/>
        <v/>
      </c>
      <c r="W111" s="62" t="str">
        <f t="shared" si="19"/>
        <v/>
      </c>
      <c r="X111" s="59"/>
      <c r="Y111" s="54"/>
      <c r="Z111" s="60"/>
      <c r="AA111" s="56">
        <f t="shared" si="20"/>
        <v>0</v>
      </c>
      <c r="AB111" s="61" t="str">
        <f t="shared" si="25"/>
        <v/>
      </c>
      <c r="AC111" s="62" t="str">
        <f t="shared" si="22"/>
        <v/>
      </c>
    </row>
    <row r="112" spans="1:29">
      <c r="B112" s="66"/>
      <c r="C112" s="67"/>
      <c r="D112" s="68"/>
      <c r="E112" s="67"/>
      <c r="F112" s="67"/>
      <c r="G112" s="67"/>
      <c r="H112" s="69"/>
      <c r="I112" s="69"/>
      <c r="J112" s="70">
        <f>SUBTOTAL(9,I89:I111)</f>
        <v>0</v>
      </c>
      <c r="K112" s="58"/>
      <c r="L112" s="59"/>
      <c r="M112" s="54"/>
      <c r="N112" s="60"/>
      <c r="O112" s="56">
        <f t="shared" si="14"/>
        <v>0</v>
      </c>
      <c r="P112" s="61" t="str">
        <f t="shared" si="23"/>
        <v/>
      </c>
      <c r="Q112" s="62" t="str">
        <f t="shared" si="16"/>
        <v/>
      </c>
      <c r="R112" s="59"/>
      <c r="S112" s="54"/>
      <c r="T112" s="60"/>
      <c r="U112" s="56">
        <f t="shared" si="17"/>
        <v>0</v>
      </c>
      <c r="V112" s="61" t="str">
        <f t="shared" si="24"/>
        <v/>
      </c>
      <c r="W112" s="62" t="str">
        <f t="shared" si="19"/>
        <v/>
      </c>
      <c r="X112" s="59"/>
      <c r="Y112" s="54"/>
      <c r="Z112" s="60"/>
      <c r="AA112" s="56">
        <f t="shared" si="20"/>
        <v>0</v>
      </c>
      <c r="AB112" s="61" t="str">
        <f t="shared" si="25"/>
        <v/>
      </c>
      <c r="AC112" s="62" t="str">
        <f t="shared" si="22"/>
        <v/>
      </c>
    </row>
    <row r="113" spans="1:29">
      <c r="B113" s="71"/>
      <c r="C113" s="54"/>
      <c r="D113" s="54"/>
      <c r="E113" s="54"/>
      <c r="F113" s="54"/>
      <c r="G113" s="54"/>
      <c r="H113" s="56"/>
      <c r="I113" s="56"/>
      <c r="J113" s="57"/>
      <c r="K113" s="58"/>
      <c r="L113" s="59"/>
      <c r="M113" s="54"/>
      <c r="N113" s="60"/>
      <c r="O113" s="56">
        <f t="shared" si="14"/>
        <v>0</v>
      </c>
      <c r="P113" s="61" t="str">
        <f t="shared" si="23"/>
        <v/>
      </c>
      <c r="Q113" s="62" t="str">
        <f t="shared" si="16"/>
        <v/>
      </c>
      <c r="R113" s="59"/>
      <c r="S113" s="54"/>
      <c r="T113" s="60"/>
      <c r="U113" s="56">
        <f t="shared" si="17"/>
        <v>0</v>
      </c>
      <c r="V113" s="61" t="str">
        <f t="shared" si="24"/>
        <v/>
      </c>
      <c r="W113" s="62" t="str">
        <f t="shared" si="19"/>
        <v/>
      </c>
      <c r="X113" s="59"/>
      <c r="Y113" s="54"/>
      <c r="Z113" s="60"/>
      <c r="AA113" s="56">
        <f t="shared" si="20"/>
        <v>0</v>
      </c>
      <c r="AB113" s="61" t="str">
        <f t="shared" si="25"/>
        <v/>
      </c>
      <c r="AC113" s="62" t="str">
        <f t="shared" si="22"/>
        <v/>
      </c>
    </row>
    <row r="114" spans="1:29">
      <c r="B114" s="53" t="s">
        <v>466</v>
      </c>
      <c r="C114" s="54"/>
      <c r="D114" s="55"/>
      <c r="E114" s="54"/>
      <c r="F114" s="54"/>
      <c r="G114" s="54"/>
      <c r="H114" s="56"/>
      <c r="I114" s="56"/>
      <c r="J114" s="57"/>
      <c r="K114" s="58"/>
      <c r="L114" s="59"/>
      <c r="M114" s="54"/>
      <c r="N114" s="60"/>
      <c r="O114" s="56">
        <f t="shared" si="14"/>
        <v>0</v>
      </c>
      <c r="P114" s="61" t="str">
        <f t="shared" si="23"/>
        <v/>
      </c>
      <c r="Q114" s="62" t="str">
        <f t="shared" si="16"/>
        <v/>
      </c>
      <c r="R114" s="59"/>
      <c r="S114" s="54"/>
      <c r="T114" s="60"/>
      <c r="U114" s="56">
        <f t="shared" si="17"/>
        <v>0</v>
      </c>
      <c r="V114" s="61" t="str">
        <f t="shared" si="24"/>
        <v/>
      </c>
      <c r="W114" s="62" t="str">
        <f t="shared" si="19"/>
        <v/>
      </c>
      <c r="X114" s="59"/>
      <c r="Y114" s="54"/>
      <c r="Z114" s="60"/>
      <c r="AA114" s="56">
        <f t="shared" si="20"/>
        <v>0</v>
      </c>
      <c r="AB114" s="61" t="str">
        <f t="shared" si="25"/>
        <v/>
      </c>
      <c r="AC114" s="62" t="str">
        <f t="shared" si="22"/>
        <v/>
      </c>
    </row>
    <row r="115" spans="1:29">
      <c r="B115" s="64" t="str">
        <f>[1]!ArticleCode('Detail Verwarm San Vent'!Art_62.)</f>
        <v>62.</v>
      </c>
      <c r="C115" s="65" t="str">
        <f>[1]!ArticleDescription('Detail Verwarm San Vent'!Art_62.)</f>
        <v>SANITAIRE KRANEN &amp; KLEPPEN</v>
      </c>
      <c r="D115" s="54"/>
      <c r="E115" s="54"/>
      <c r="F115" s="54"/>
      <c r="G115" s="54"/>
      <c r="H115" s="56"/>
      <c r="I115" s="56"/>
      <c r="J115" s="57"/>
      <c r="K115" s="58"/>
      <c r="L115" s="59"/>
      <c r="M115" s="54"/>
      <c r="N115" s="60"/>
      <c r="O115" s="56">
        <f t="shared" si="14"/>
        <v>0</v>
      </c>
      <c r="P115" s="61" t="str">
        <f t="shared" si="23"/>
        <v/>
      </c>
      <c r="Q115" s="62" t="str">
        <f t="shared" si="16"/>
        <v/>
      </c>
      <c r="R115" s="59"/>
      <c r="S115" s="54"/>
      <c r="T115" s="60"/>
      <c r="U115" s="56">
        <f t="shared" si="17"/>
        <v>0</v>
      </c>
      <c r="V115" s="61" t="str">
        <f t="shared" si="24"/>
        <v/>
      </c>
      <c r="W115" s="62" t="str">
        <f t="shared" si="19"/>
        <v/>
      </c>
      <c r="X115" s="59"/>
      <c r="Y115" s="54"/>
      <c r="Z115" s="60"/>
      <c r="AA115" s="56">
        <f t="shared" si="20"/>
        <v>0</v>
      </c>
      <c r="AB115" s="61" t="str">
        <f t="shared" si="25"/>
        <v/>
      </c>
      <c r="AC115" s="62" t="str">
        <f t="shared" si="22"/>
        <v/>
      </c>
    </row>
    <row r="116" spans="1:29">
      <c r="B116" s="64" t="str">
        <f>[1]!ArticleCode('Detail Verwarm San Vent'!Art_62.00.)</f>
        <v>62.00.</v>
      </c>
      <c r="C116" s="65" t="str">
        <f>[1]!ArticleDescription('Detail Verwarm San Vent'!Art_62.00.)</f>
        <v>sanitaire kranen - kleppen - algemeen</v>
      </c>
      <c r="D116" s="54"/>
      <c r="E116" s="54"/>
      <c r="F116" s="54"/>
      <c r="G116" s="54"/>
      <c r="H116" s="56"/>
      <c r="I116" s="56"/>
      <c r="J116" s="57"/>
      <c r="K116" s="58"/>
      <c r="L116" s="59"/>
      <c r="M116" s="54"/>
      <c r="N116" s="60"/>
      <c r="O116" s="56">
        <f t="shared" si="14"/>
        <v>0</v>
      </c>
      <c r="P116" s="61" t="str">
        <f t="shared" si="23"/>
        <v/>
      </c>
      <c r="Q116" s="62" t="str">
        <f t="shared" si="16"/>
        <v/>
      </c>
      <c r="R116" s="59"/>
      <c r="S116" s="54"/>
      <c r="T116" s="60"/>
      <c r="U116" s="56">
        <f t="shared" si="17"/>
        <v>0</v>
      </c>
      <c r="V116" s="61" t="str">
        <f t="shared" si="24"/>
        <v/>
      </c>
      <c r="W116" s="62" t="str">
        <f t="shared" si="19"/>
        <v/>
      </c>
      <c r="X116" s="59"/>
      <c r="Y116" s="54"/>
      <c r="Z116" s="60"/>
      <c r="AA116" s="56">
        <f t="shared" si="20"/>
        <v>0</v>
      </c>
      <c r="AB116" s="61" t="str">
        <f t="shared" si="25"/>
        <v/>
      </c>
      <c r="AC116" s="62" t="str">
        <f t="shared" si="22"/>
        <v/>
      </c>
    </row>
    <row r="117" spans="1:29">
      <c r="B117" s="64" t="str">
        <f>[1]!ArticleCode('Detail Verwarm San Vent'!Art_62.10.)</f>
        <v>62.10.</v>
      </c>
      <c r="C117" s="65" t="str">
        <f>[1]!ArticleDescription('Detail Verwarm San Vent'!Art_62.10.)</f>
        <v>terugslagkleppen - algemeen</v>
      </c>
      <c r="D117" s="54"/>
      <c r="E117" s="54"/>
      <c r="F117" s="54"/>
      <c r="G117" s="54"/>
      <c r="H117" s="56"/>
      <c r="I117" s="56"/>
      <c r="J117" s="57"/>
      <c r="K117" s="58"/>
      <c r="L117" s="59"/>
      <c r="M117" s="54"/>
      <c r="N117" s="60"/>
      <c r="O117" s="56">
        <f t="shared" si="14"/>
        <v>0</v>
      </c>
      <c r="P117" s="61" t="str">
        <f t="shared" si="23"/>
        <v/>
      </c>
      <c r="Q117" s="62" t="str">
        <f t="shared" si="16"/>
        <v/>
      </c>
      <c r="R117" s="59"/>
      <c r="S117" s="54"/>
      <c r="T117" s="60"/>
      <c r="U117" s="56">
        <f t="shared" si="17"/>
        <v>0</v>
      </c>
      <c r="V117" s="61" t="str">
        <f t="shared" si="24"/>
        <v/>
      </c>
      <c r="W117" s="62" t="str">
        <f t="shared" si="19"/>
        <v/>
      </c>
      <c r="X117" s="59"/>
      <c r="Y117" s="54"/>
      <c r="Z117" s="60"/>
      <c r="AA117" s="56">
        <f t="shared" si="20"/>
        <v>0</v>
      </c>
      <c r="AB117" s="61" t="str">
        <f t="shared" si="25"/>
        <v/>
      </c>
      <c r="AC117" s="62" t="str">
        <f t="shared" si="22"/>
        <v/>
      </c>
    </row>
    <row r="118" spans="1:29">
      <c r="A118" s="63">
        <f>A111+1</f>
        <v>44</v>
      </c>
      <c r="B118" s="64" t="str">
        <f>[1]!ArticleCode('Detail Verwarm San Vent'!Art_62.11.)</f>
        <v>62.11.</v>
      </c>
      <c r="C118" s="65" t="str">
        <f>[1]!ArticleDescription('Detail Verwarm San Vent'!Art_62.11.)</f>
        <v xml:space="preserve">terugslagkleppen - messing </v>
      </c>
      <c r="D118" s="54" t="str">
        <f>[1]!ArticleMeasureType('Detail Verwarm San Vent'!Art_62.11.)</f>
        <v/>
      </c>
      <c r="E118" s="54" t="str">
        <f>[1]!ArticleMeasureUnit('Detail Verwarm San Vent'!Art_62.11.)</f>
        <v>PM</v>
      </c>
      <c r="F118" s="72" t="str">
        <f>[1]!ArticleQuantity('Detail Verwarm San Vent'!Art_62.11.)</f>
        <v/>
      </c>
      <c r="G118" s="54"/>
      <c r="H118" s="56"/>
      <c r="I118" s="56">
        <f>IF(RIGHT($D118,1)="-","************",ROUND(IF(NOT(ISNUMBER(G118)),IF(NOT(ISNUMBER(F118)),1,F118),G118)*H118,2))</f>
        <v>0</v>
      </c>
      <c r="J118" s="57"/>
      <c r="K118" s="58"/>
      <c r="L118" s="59"/>
      <c r="M118" s="54"/>
      <c r="N118" s="60"/>
      <c r="O118" s="56">
        <f t="shared" si="14"/>
        <v>0</v>
      </c>
      <c r="P118" s="61" t="str">
        <f t="shared" si="23"/>
        <v/>
      </c>
      <c r="Q118" s="62" t="str">
        <f t="shared" si="16"/>
        <v/>
      </c>
      <c r="R118" s="59"/>
      <c r="S118" s="54"/>
      <c r="T118" s="60"/>
      <c r="U118" s="56">
        <f t="shared" si="17"/>
        <v>0</v>
      </c>
      <c r="V118" s="61" t="str">
        <f t="shared" si="24"/>
        <v/>
      </c>
      <c r="W118" s="62" t="str">
        <f t="shared" si="19"/>
        <v/>
      </c>
      <c r="X118" s="59"/>
      <c r="Y118" s="54"/>
      <c r="Z118" s="60"/>
      <c r="AA118" s="56">
        <f t="shared" si="20"/>
        <v>0</v>
      </c>
      <c r="AB118" s="61" t="str">
        <f t="shared" si="25"/>
        <v/>
      </c>
      <c r="AC118" s="62" t="str">
        <f t="shared" si="22"/>
        <v/>
      </c>
    </row>
    <row r="119" spans="1:29">
      <c r="B119" s="64" t="str">
        <f>[1]!ArticleCode('Detail Verwarm San Vent'!Art_62.20.)</f>
        <v>62.20.</v>
      </c>
      <c r="C119" s="65" t="str">
        <f>[1]!ArticleDescription('Detail Verwarm San Vent'!Art_62.20.)</f>
        <v>installatieafsluitkranen - algemeen</v>
      </c>
      <c r="D119" s="54"/>
      <c r="E119" s="54"/>
      <c r="F119" s="54"/>
      <c r="G119" s="54"/>
      <c r="H119" s="56"/>
      <c r="I119" s="56"/>
      <c r="J119" s="57"/>
      <c r="K119" s="58"/>
      <c r="L119" s="59"/>
      <c r="M119" s="54"/>
      <c r="N119" s="60"/>
      <c r="O119" s="56">
        <f t="shared" si="14"/>
        <v>0</v>
      </c>
      <c r="P119" s="61" t="str">
        <f t="shared" si="23"/>
        <v/>
      </c>
      <c r="Q119" s="62" t="str">
        <f t="shared" si="16"/>
        <v/>
      </c>
      <c r="R119" s="59"/>
      <c r="S119" s="54"/>
      <c r="T119" s="60"/>
      <c r="U119" s="56">
        <f t="shared" si="17"/>
        <v>0</v>
      </c>
      <c r="V119" s="61" t="str">
        <f t="shared" si="24"/>
        <v/>
      </c>
      <c r="W119" s="62" t="str">
        <f t="shared" si="19"/>
        <v/>
      </c>
      <c r="X119" s="59"/>
      <c r="Y119" s="54"/>
      <c r="Z119" s="60"/>
      <c r="AA119" s="56">
        <f t="shared" si="20"/>
        <v>0</v>
      </c>
      <c r="AB119" s="61" t="str">
        <f t="shared" si="25"/>
        <v/>
      </c>
      <c r="AC119" s="62" t="str">
        <f t="shared" si="22"/>
        <v/>
      </c>
    </row>
    <row r="120" spans="1:29">
      <c r="B120" s="64" t="str">
        <f>[1]!ArticleCode('Detail Verwarm San Vent'!Art_62.21.)</f>
        <v>62.21.</v>
      </c>
      <c r="C120" s="65" t="str">
        <f>[1]!ArticleDescription('Detail Verwarm San Vent'!Art_62.21.)</f>
        <v>installatieafsluitkranen – messing</v>
      </c>
      <c r="D120" s="54"/>
      <c r="E120" s="54"/>
      <c r="F120" s="54"/>
      <c r="G120" s="54"/>
      <c r="H120" s="56"/>
      <c r="I120" s="56"/>
      <c r="J120" s="57"/>
      <c r="K120" s="58"/>
      <c r="L120" s="59"/>
      <c r="M120" s="54"/>
      <c r="N120" s="60"/>
      <c r="O120" s="56">
        <f t="shared" si="14"/>
        <v>0</v>
      </c>
      <c r="P120" s="61" t="str">
        <f t="shared" si="23"/>
        <v/>
      </c>
      <c r="Q120" s="62" t="str">
        <f t="shared" si="16"/>
        <v/>
      </c>
      <c r="R120" s="59"/>
      <c r="S120" s="54"/>
      <c r="T120" s="60"/>
      <c r="U120" s="56">
        <f t="shared" si="17"/>
        <v>0</v>
      </c>
      <c r="V120" s="61" t="str">
        <f t="shared" si="24"/>
        <v/>
      </c>
      <c r="W120" s="62" t="str">
        <f t="shared" si="19"/>
        <v/>
      </c>
      <c r="X120" s="59"/>
      <c r="Y120" s="54"/>
      <c r="Z120" s="60"/>
      <c r="AA120" s="56">
        <f t="shared" si="20"/>
        <v>0</v>
      </c>
      <c r="AB120" s="61" t="str">
        <f t="shared" si="25"/>
        <v/>
      </c>
      <c r="AC120" s="62" t="str">
        <f t="shared" si="22"/>
        <v/>
      </c>
    </row>
    <row r="121" spans="1:29">
      <c r="A121" s="63">
        <f>A118+1</f>
        <v>45</v>
      </c>
      <c r="B121" s="64" t="str">
        <f>[1]!ArticleCode('Detail Verwarm San Vent'!Art_62.21.10.)</f>
        <v>62.21.10.</v>
      </c>
      <c r="C121" s="65" t="str">
        <f>[1]!ArticleDescription('Detail Verwarm San Vent'!Art_62.21.10.)</f>
        <v>installatieafsluitkranen – messing/zonder aftapkraan</v>
      </c>
      <c r="D121" s="54" t="str">
        <f>[1]!ArticleMeasureType('Detail Verwarm San Vent'!Art_62.21.10.)</f>
        <v/>
      </c>
      <c r="E121" s="54" t="str">
        <f>[1]!ArticleMeasureUnit('Detail Verwarm San Vent'!Art_62.21.10.)</f>
        <v>PM</v>
      </c>
      <c r="F121" s="72" t="str">
        <f>[1]!ArticleQuantity('Detail Verwarm San Vent'!Art_62.21.10.)</f>
        <v/>
      </c>
      <c r="G121" s="54"/>
      <c r="H121" s="56"/>
      <c r="I121" s="56">
        <f>IF(RIGHT($D121,1)="-","************",ROUND(IF(NOT(ISNUMBER(G121)),IF(NOT(ISNUMBER(F121)),1,F121),G121)*H121,2))</f>
        <v>0</v>
      </c>
      <c r="J121" s="57"/>
      <c r="K121" s="58"/>
      <c r="L121" s="59"/>
      <c r="M121" s="54"/>
      <c r="N121" s="60"/>
      <c r="O121" s="56">
        <f t="shared" si="14"/>
        <v>0</v>
      </c>
      <c r="P121" s="61" t="str">
        <f t="shared" si="23"/>
        <v/>
      </c>
      <c r="Q121" s="62" t="str">
        <f t="shared" si="16"/>
        <v/>
      </c>
      <c r="R121" s="59"/>
      <c r="S121" s="54"/>
      <c r="T121" s="60"/>
      <c r="U121" s="56">
        <f t="shared" si="17"/>
        <v>0</v>
      </c>
      <c r="V121" s="61" t="str">
        <f t="shared" si="24"/>
        <v/>
      </c>
      <c r="W121" s="62" t="str">
        <f t="shared" si="19"/>
        <v/>
      </c>
      <c r="X121" s="59"/>
      <c r="Y121" s="54"/>
      <c r="Z121" s="60"/>
      <c r="AA121" s="56">
        <f t="shared" si="20"/>
        <v>0</v>
      </c>
      <c r="AB121" s="61" t="str">
        <f t="shared" si="25"/>
        <v/>
      </c>
      <c r="AC121" s="62" t="str">
        <f t="shared" si="22"/>
        <v/>
      </c>
    </row>
    <row r="122" spans="1:29">
      <c r="B122" s="64" t="str">
        <f>[1]!ArticleCode('Detail Verwarm San Vent'!Art_62.30.)</f>
        <v>62.30.</v>
      </c>
      <c r="C122" s="65" t="str">
        <f>[1]!ArticleDescription('Detail Verwarm San Vent'!Art_62.30.)</f>
        <v>wandafsluitkranen - algemeen</v>
      </c>
      <c r="D122" s="54"/>
      <c r="E122" s="54"/>
      <c r="F122" s="54"/>
      <c r="G122" s="54"/>
      <c r="H122" s="56"/>
      <c r="I122" s="56"/>
      <c r="J122" s="57"/>
      <c r="K122" s="58"/>
      <c r="L122" s="59"/>
      <c r="M122" s="54"/>
      <c r="N122" s="60"/>
      <c r="O122" s="56">
        <f t="shared" si="14"/>
        <v>0</v>
      </c>
      <c r="P122" s="61" t="str">
        <f t="shared" si="23"/>
        <v/>
      </c>
      <c r="Q122" s="62" t="str">
        <f t="shared" si="16"/>
        <v/>
      </c>
      <c r="R122" s="59"/>
      <c r="S122" s="54"/>
      <c r="T122" s="60"/>
      <c r="U122" s="56">
        <f t="shared" si="17"/>
        <v>0</v>
      </c>
      <c r="V122" s="61" t="str">
        <f t="shared" si="24"/>
        <v/>
      </c>
      <c r="W122" s="62" t="str">
        <f t="shared" si="19"/>
        <v/>
      </c>
      <c r="X122" s="59"/>
      <c r="Y122" s="54"/>
      <c r="Z122" s="60"/>
      <c r="AA122" s="56">
        <f t="shared" si="20"/>
        <v>0</v>
      </c>
      <c r="AB122" s="61" t="str">
        <f t="shared" si="25"/>
        <v/>
      </c>
      <c r="AC122" s="62" t="str">
        <f t="shared" si="22"/>
        <v/>
      </c>
    </row>
    <row r="123" spans="1:29">
      <c r="A123" s="63">
        <f>A121+1</f>
        <v>46</v>
      </c>
      <c r="B123" s="64" t="str">
        <f>[1]!ArticleCode('Detail Verwarm San Vent'!Art_62.31.)</f>
        <v>62.31.</v>
      </c>
      <c r="C123" s="65" t="str">
        <f>[1]!ArticleDescription('Detail Verwarm San Vent'!Art_62.31.)</f>
        <v xml:space="preserve">wandafsluitkranen - enkelvoudige stopkraan </v>
      </c>
      <c r="D123" s="54" t="str">
        <f>[1]!ArticleMeasureType('Detail Verwarm San Vent'!Art_62.31.)</f>
        <v/>
      </c>
      <c r="E123" s="54" t="str">
        <f>[1]!ArticleMeasureUnit('Detail Verwarm San Vent'!Art_62.31.)</f>
        <v>PM</v>
      </c>
      <c r="F123" s="72" t="str">
        <f>[1]!ArticleQuantity('Detail Verwarm San Vent'!Art_62.31.)</f>
        <v/>
      </c>
      <c r="G123" s="54"/>
      <c r="H123" s="56"/>
      <c r="I123" s="56">
        <f>IF(RIGHT($D123,1)="-","************",ROUND(IF(NOT(ISNUMBER(G123)),IF(NOT(ISNUMBER(F123)),1,F123),G123)*H123,2))</f>
        <v>0</v>
      </c>
      <c r="J123" s="57"/>
      <c r="K123" s="58"/>
      <c r="L123" s="59"/>
      <c r="M123" s="54"/>
      <c r="N123" s="60"/>
      <c r="O123" s="56">
        <f t="shared" si="14"/>
        <v>0</v>
      </c>
      <c r="P123" s="61" t="str">
        <f t="shared" si="23"/>
        <v/>
      </c>
      <c r="Q123" s="62" t="str">
        <f t="shared" si="16"/>
        <v/>
      </c>
      <c r="R123" s="59"/>
      <c r="S123" s="54"/>
      <c r="T123" s="60"/>
      <c r="U123" s="56">
        <f t="shared" si="17"/>
        <v>0</v>
      </c>
      <c r="V123" s="61" t="str">
        <f t="shared" si="24"/>
        <v/>
      </c>
      <c r="W123" s="62" t="str">
        <f t="shared" si="19"/>
        <v/>
      </c>
      <c r="X123" s="59"/>
      <c r="Y123" s="54"/>
      <c r="Z123" s="60"/>
      <c r="AA123" s="56">
        <f t="shared" si="20"/>
        <v>0</v>
      </c>
      <c r="AB123" s="61" t="str">
        <f t="shared" si="25"/>
        <v/>
      </c>
      <c r="AC123" s="62" t="str">
        <f t="shared" si="22"/>
        <v/>
      </c>
    </row>
    <row r="124" spans="1:29">
      <c r="A124" s="63">
        <f>A123+1</f>
        <v>47</v>
      </c>
      <c r="B124" s="64" t="str">
        <f>[1]!ArticleCode('Detail Verwarm San Vent'!Art_62.32.)</f>
        <v>62.32.</v>
      </c>
      <c r="C124" s="65" t="str">
        <f>[1]!ArticleDescription('Detail Verwarm San Vent'!Art_62.32.)</f>
        <v xml:space="preserve">wandafsluitkranen - stopkraan met dienstkraan </v>
      </c>
      <c r="D124" s="54" t="str">
        <f>[1]!ArticleMeasureType('Detail Verwarm San Vent'!Art_62.32.)</f>
        <v/>
      </c>
      <c r="E124" s="54" t="str">
        <f>[1]!ArticleMeasureUnit('Detail Verwarm San Vent'!Art_62.32.)</f>
        <v>PM</v>
      </c>
      <c r="F124" s="72" t="str">
        <f>[1]!ArticleQuantity('Detail Verwarm San Vent'!Art_62.32.)</f>
        <v/>
      </c>
      <c r="G124" s="54"/>
      <c r="H124" s="56"/>
      <c r="I124" s="56">
        <f>IF(RIGHT($D124,1)="-","************",ROUND(IF(NOT(ISNUMBER(G124)),IF(NOT(ISNUMBER(F124)),1,F124),G124)*H124,2))</f>
        <v>0</v>
      </c>
      <c r="J124" s="57"/>
      <c r="K124" s="58"/>
      <c r="L124" s="59"/>
      <c r="M124" s="54"/>
      <c r="N124" s="60"/>
      <c r="O124" s="56">
        <f t="shared" si="14"/>
        <v>0</v>
      </c>
      <c r="P124" s="61" t="str">
        <f t="shared" si="23"/>
        <v/>
      </c>
      <c r="Q124" s="62" t="str">
        <f t="shared" si="16"/>
        <v/>
      </c>
      <c r="R124" s="59"/>
      <c r="S124" s="54"/>
      <c r="T124" s="60"/>
      <c r="U124" s="56">
        <f t="shared" si="17"/>
        <v>0</v>
      </c>
      <c r="V124" s="61" t="str">
        <f t="shared" si="24"/>
        <v/>
      </c>
      <c r="W124" s="62" t="str">
        <f t="shared" si="19"/>
        <v/>
      </c>
      <c r="X124" s="59"/>
      <c r="Y124" s="54"/>
      <c r="Z124" s="60"/>
      <c r="AA124" s="56">
        <f t="shared" si="20"/>
        <v>0</v>
      </c>
      <c r="AB124" s="61" t="str">
        <f t="shared" si="25"/>
        <v/>
      </c>
      <c r="AC124" s="62" t="str">
        <f t="shared" si="22"/>
        <v/>
      </c>
    </row>
    <row r="125" spans="1:29">
      <c r="B125" s="64" t="str">
        <f>[1]!ArticleCode('Detail Verwarm San Vent'!Art_62.40.)</f>
        <v>62.40.</v>
      </c>
      <c r="C125" s="65" t="str">
        <f>[1]!ArticleDescription('Detail Verwarm San Vent'!Art_62.40.)</f>
        <v>dienstkranen - algemeen</v>
      </c>
      <c r="D125" s="54"/>
      <c r="E125" s="54"/>
      <c r="F125" s="54"/>
      <c r="G125" s="54"/>
      <c r="H125" s="56"/>
      <c r="I125" s="56"/>
      <c r="J125" s="57"/>
      <c r="K125" s="58"/>
      <c r="L125" s="59"/>
      <c r="M125" s="54"/>
      <c r="N125" s="60"/>
      <c r="O125" s="56">
        <f t="shared" si="14"/>
        <v>0</v>
      </c>
      <c r="P125" s="61" t="str">
        <f t="shared" si="23"/>
        <v/>
      </c>
      <c r="Q125" s="62" t="str">
        <f t="shared" si="16"/>
        <v/>
      </c>
      <c r="R125" s="59"/>
      <c r="S125" s="54"/>
      <c r="T125" s="60"/>
      <c r="U125" s="56">
        <f t="shared" si="17"/>
        <v>0</v>
      </c>
      <c r="V125" s="61" t="str">
        <f t="shared" si="24"/>
        <v/>
      </c>
      <c r="W125" s="62" t="str">
        <f t="shared" si="19"/>
        <v/>
      </c>
      <c r="X125" s="59"/>
      <c r="Y125" s="54"/>
      <c r="Z125" s="60"/>
      <c r="AA125" s="56">
        <f t="shared" si="20"/>
        <v>0</v>
      </c>
      <c r="AB125" s="61" t="str">
        <f t="shared" si="25"/>
        <v/>
      </c>
      <c r="AC125" s="62" t="str">
        <f t="shared" si="22"/>
        <v/>
      </c>
    </row>
    <row r="126" spans="1:29">
      <c r="B126" s="64" t="str">
        <f>[1]!ArticleCode('Detail Verwarm San Vent'!Art_62.42.)</f>
        <v>62.42.</v>
      </c>
      <c r="C126" s="65" t="str">
        <f>[1]!ArticleDescription('Detail Verwarm San Vent'!Art_62.42.)</f>
        <v>dienstkranen - dubbele dienstkraan</v>
      </c>
      <c r="D126" s="54"/>
      <c r="E126" s="54"/>
      <c r="F126" s="54"/>
      <c r="G126" s="54"/>
      <c r="H126" s="56"/>
      <c r="I126" s="56"/>
      <c r="J126" s="57"/>
      <c r="K126" s="58"/>
      <c r="L126" s="59"/>
      <c r="M126" s="54"/>
      <c r="N126" s="60"/>
      <c r="O126" s="56">
        <f t="shared" si="14"/>
        <v>0</v>
      </c>
      <c r="P126" s="61" t="str">
        <f t="shared" si="23"/>
        <v/>
      </c>
      <c r="Q126" s="62" t="str">
        <f t="shared" si="16"/>
        <v/>
      </c>
      <c r="R126" s="59"/>
      <c r="S126" s="54"/>
      <c r="T126" s="60"/>
      <c r="U126" s="56">
        <f t="shared" si="17"/>
        <v>0</v>
      </c>
      <c r="V126" s="61" t="str">
        <f t="shared" si="24"/>
        <v/>
      </c>
      <c r="W126" s="62" t="str">
        <f t="shared" si="19"/>
        <v/>
      </c>
      <c r="X126" s="59"/>
      <c r="Y126" s="54"/>
      <c r="Z126" s="60"/>
      <c r="AA126" s="56">
        <f t="shared" si="20"/>
        <v>0</v>
      </c>
      <c r="AB126" s="61" t="str">
        <f t="shared" si="25"/>
        <v/>
      </c>
      <c r="AC126" s="62" t="str">
        <f t="shared" si="22"/>
        <v/>
      </c>
    </row>
    <row r="127" spans="1:29">
      <c r="A127" s="63">
        <f>A124+1</f>
        <v>48</v>
      </c>
      <c r="B127" s="64" t="str">
        <f>[1]!ArticleCode('Detail Verwarm San Vent'!Art_62.42.20.)</f>
        <v>62.42.20.</v>
      </c>
      <c r="C127" s="65" t="str">
        <f>[1]!ArticleDescription('Detail Verwarm San Vent'!Art_62.42.20.)</f>
        <v xml:space="preserve">dienstkranen – dubbele dienstkraan/buiten (incl afsluitkraan aan de binnenzijde)	</v>
      </c>
      <c r="D127" s="54" t="str">
        <f>[1]!ArticleMeasureType('Detail Verwarm San Vent'!Art_62.42.20.)</f>
        <v>FH</v>
      </c>
      <c r="E127" s="54" t="str">
        <f>[1]!ArticleMeasureUnit('Detail Verwarm San Vent'!Art_62.42.20.)</f>
        <v>st</v>
      </c>
      <c r="F127" s="72">
        <f>[1]!ArticleQuantity('Detail Verwarm San Vent'!Art_62.42.20.)</f>
        <v>3</v>
      </c>
      <c r="G127" s="54"/>
      <c r="H127" s="56"/>
      <c r="I127" s="56">
        <f>IF(RIGHT($D127,1)="-","************",ROUND(IF(NOT(ISNUMBER(G127)),IF(NOT(ISNUMBER(F127)),1,F127),G127)*H127,2))</f>
        <v>0</v>
      </c>
      <c r="J127" s="57"/>
      <c r="K127" s="58"/>
      <c r="L127" s="59"/>
      <c r="M127" s="54"/>
      <c r="N127" s="60"/>
      <c r="O127" s="56">
        <f t="shared" si="14"/>
        <v>0</v>
      </c>
      <c r="P127" s="61" t="str">
        <f t="shared" si="23"/>
        <v/>
      </c>
      <c r="Q127" s="62" t="str">
        <f t="shared" si="16"/>
        <v/>
      </c>
      <c r="R127" s="59"/>
      <c r="S127" s="54"/>
      <c r="T127" s="60"/>
      <c r="U127" s="56">
        <f t="shared" si="17"/>
        <v>0</v>
      </c>
      <c r="V127" s="61" t="str">
        <f t="shared" si="24"/>
        <v/>
      </c>
      <c r="W127" s="62" t="str">
        <f t="shared" si="19"/>
        <v/>
      </c>
      <c r="X127" s="59"/>
      <c r="Y127" s="54"/>
      <c r="Z127" s="60"/>
      <c r="AA127" s="56">
        <f t="shared" si="20"/>
        <v>0</v>
      </c>
      <c r="AB127" s="61" t="str">
        <f t="shared" si="25"/>
        <v/>
      </c>
      <c r="AC127" s="62" t="str">
        <f t="shared" si="22"/>
        <v/>
      </c>
    </row>
    <row r="128" spans="1:29">
      <c r="B128" s="64" t="str">
        <f>[1]!ArticleCode('Detail Verwarm San Vent'!Art_62.50.)</f>
        <v>62.50.</v>
      </c>
      <c r="C128" s="65" t="str">
        <f>[1]!ArticleDescription('Detail Verwarm San Vent'!Art_62.50.)</f>
        <v>ééngatskranen - algemeen</v>
      </c>
      <c r="D128" s="54"/>
      <c r="E128" s="54"/>
      <c r="F128" s="54"/>
      <c r="G128" s="54"/>
      <c r="H128" s="56"/>
      <c r="I128" s="56"/>
      <c r="J128" s="57"/>
      <c r="K128" s="58"/>
      <c r="L128" s="59"/>
      <c r="M128" s="54"/>
      <c r="N128" s="60"/>
      <c r="O128" s="56">
        <f t="shared" si="14"/>
        <v>0</v>
      </c>
      <c r="P128" s="61" t="str">
        <f t="shared" si="23"/>
        <v/>
      </c>
      <c r="Q128" s="62" t="str">
        <f t="shared" si="16"/>
        <v/>
      </c>
      <c r="R128" s="59"/>
      <c r="S128" s="54"/>
      <c r="T128" s="60"/>
      <c r="U128" s="56">
        <f t="shared" si="17"/>
        <v>0</v>
      </c>
      <c r="V128" s="61" t="str">
        <f t="shared" si="24"/>
        <v/>
      </c>
      <c r="W128" s="62" t="str">
        <f t="shared" si="19"/>
        <v/>
      </c>
      <c r="X128" s="59"/>
      <c r="Y128" s="54"/>
      <c r="Z128" s="60"/>
      <c r="AA128" s="56">
        <f t="shared" si="20"/>
        <v>0</v>
      </c>
      <c r="AB128" s="61" t="str">
        <f t="shared" si="25"/>
        <v/>
      </c>
      <c r="AC128" s="62" t="str">
        <f t="shared" si="22"/>
        <v/>
      </c>
    </row>
    <row r="129" spans="1:29">
      <c r="A129" s="63">
        <f>A127+1</f>
        <v>49</v>
      </c>
      <c r="B129" s="64" t="str">
        <f>[1]!ArticleCode('Detail Verwarm San Vent'!Art_62.51.)</f>
        <v>62.51.</v>
      </c>
      <c r="C129" s="65" t="str">
        <f>[1]!ArticleDescription('Detail Verwarm San Vent'!Art_62.51.)</f>
        <v xml:space="preserve">ééngatskranen – handwastafelkraan koudwater zelfsluitend met drukknop </v>
      </c>
      <c r="D129" s="54" t="str">
        <f>[1]!ArticleMeasureType('Detail Verwarm San Vent'!Art_62.51.)</f>
        <v>FH</v>
      </c>
      <c r="E129" s="54" t="str">
        <f>[1]!ArticleMeasureUnit('Detail Verwarm San Vent'!Art_62.51.)</f>
        <v>st</v>
      </c>
      <c r="F129" s="72">
        <f>[1]!ArticleQuantity('Detail Verwarm San Vent'!Art_62.51.)</f>
        <v>2</v>
      </c>
      <c r="G129" s="54"/>
      <c r="H129" s="56"/>
      <c r="I129" s="56">
        <f>IF(RIGHT($D129,1)="-","************",ROUND(IF(NOT(ISNUMBER(G129)),IF(NOT(ISNUMBER(F129)),1,F129),G129)*H129,2))</f>
        <v>0</v>
      </c>
      <c r="J129" s="57"/>
      <c r="K129" s="58"/>
      <c r="L129" s="59"/>
      <c r="M129" s="54"/>
      <c r="N129" s="60"/>
      <c r="O129" s="56">
        <f t="shared" si="14"/>
        <v>0</v>
      </c>
      <c r="P129" s="61" t="str">
        <f t="shared" si="23"/>
        <v/>
      </c>
      <c r="Q129" s="62" t="str">
        <f t="shared" si="16"/>
        <v/>
      </c>
      <c r="R129" s="59"/>
      <c r="S129" s="54"/>
      <c r="T129" s="60"/>
      <c r="U129" s="56">
        <f t="shared" si="17"/>
        <v>0</v>
      </c>
      <c r="V129" s="61" t="str">
        <f t="shared" si="24"/>
        <v/>
      </c>
      <c r="W129" s="62" t="str">
        <f t="shared" si="19"/>
        <v/>
      </c>
      <c r="X129" s="59"/>
      <c r="Y129" s="54"/>
      <c r="Z129" s="60"/>
      <c r="AA129" s="56">
        <f t="shared" si="20"/>
        <v>0</v>
      </c>
      <c r="AB129" s="61" t="str">
        <f t="shared" si="25"/>
        <v/>
      </c>
      <c r="AC129" s="62" t="str">
        <f t="shared" si="22"/>
        <v/>
      </c>
    </row>
    <row r="130" spans="1:29">
      <c r="A130" s="63">
        <f>A129+1</f>
        <v>50</v>
      </c>
      <c r="B130" s="64" t="str">
        <f>[1]!ArticleCode('Detail Verwarm San Vent'!Art_62.52.)</f>
        <v>62.52.</v>
      </c>
      <c r="C130" s="65" t="str">
        <f>[1]!ArticleDescription('Detail Verwarm San Vent'!Art_62.52.)</f>
        <v xml:space="preserve">ééngatskranen – handwastafelkraan mengkraan zelfsluitend met drukknop </v>
      </c>
      <c r="D130" s="54" t="str">
        <f>[1]!ArticleMeasureType('Detail Verwarm San Vent'!Art_62.52.)</f>
        <v>FH</v>
      </c>
      <c r="E130" s="54" t="str">
        <f>[1]!ArticleMeasureUnit('Detail Verwarm San Vent'!Art_62.52.)</f>
        <v>st</v>
      </c>
      <c r="F130" s="72">
        <f>[1]!ArticleQuantity('Detail Verwarm San Vent'!Art_62.52.)</f>
        <v>1</v>
      </c>
      <c r="G130" s="54"/>
      <c r="H130" s="56"/>
      <c r="I130" s="56">
        <f>IF(RIGHT($D130,1)="-","************",ROUND(IF(NOT(ISNUMBER(G130)),IF(NOT(ISNUMBER(F130)),1,F130),G130)*H130,2))</f>
        <v>0</v>
      </c>
      <c r="J130" s="57"/>
      <c r="K130" s="58"/>
      <c r="L130" s="59"/>
      <c r="M130" s="54"/>
      <c r="N130" s="60"/>
      <c r="O130" s="56">
        <f t="shared" si="14"/>
        <v>0</v>
      </c>
      <c r="P130" s="61" t="str">
        <f t="shared" si="23"/>
        <v/>
      </c>
      <c r="Q130" s="62" t="str">
        <f t="shared" si="16"/>
        <v/>
      </c>
      <c r="R130" s="59"/>
      <c r="S130" s="54"/>
      <c r="T130" s="60"/>
      <c r="U130" s="56">
        <f t="shared" si="17"/>
        <v>0</v>
      </c>
      <c r="V130" s="61" t="str">
        <f t="shared" si="24"/>
        <v/>
      </c>
      <c r="W130" s="62" t="str">
        <f t="shared" si="19"/>
        <v/>
      </c>
      <c r="X130" s="59"/>
      <c r="Y130" s="54"/>
      <c r="Z130" s="60"/>
      <c r="AA130" s="56">
        <f t="shared" si="20"/>
        <v>0</v>
      </c>
      <c r="AB130" s="61" t="str">
        <f t="shared" si="25"/>
        <v/>
      </c>
      <c r="AC130" s="62" t="str">
        <f t="shared" si="22"/>
        <v/>
      </c>
    </row>
    <row r="131" spans="1:29">
      <c r="A131" s="63">
        <f>A130+1</f>
        <v>51</v>
      </c>
      <c r="B131" s="64" t="str">
        <f>[1]!ArticleCode('Detail Verwarm San Vent'!Art_62.53.)</f>
        <v>62.53.</v>
      </c>
      <c r="C131" s="65" t="str">
        <f>[1]!ArticleDescription('Detail Verwarm San Vent'!Art_62.53.)</f>
        <v>ééngatskranen - afwastafelmengkraan  RECUPERATIE BESTAANDE KRAAN</v>
      </c>
      <c r="D131" s="54" t="str">
        <f>[1]!ArticleMeasureType('Detail Verwarm San Vent'!Art_62.53.)</f>
        <v>FH</v>
      </c>
      <c r="E131" s="54" t="str">
        <f>[1]!ArticleMeasureUnit('Detail Verwarm San Vent'!Art_62.53.)</f>
        <v>st</v>
      </c>
      <c r="F131" s="72">
        <f>[1]!ArticleQuantity('Detail Verwarm San Vent'!Art_62.53.)</f>
        <v>2</v>
      </c>
      <c r="G131" s="54"/>
      <c r="H131" s="56"/>
      <c r="I131" s="56">
        <f>IF(RIGHT($D131,1)="-","************",ROUND(IF(NOT(ISNUMBER(G131)),IF(NOT(ISNUMBER(F131)),1,F131),G131)*H131,2))</f>
        <v>0</v>
      </c>
      <c r="J131" s="57"/>
      <c r="K131" s="58"/>
      <c r="L131" s="59"/>
      <c r="M131" s="54"/>
      <c r="N131" s="60"/>
      <c r="O131" s="56">
        <f t="shared" si="14"/>
        <v>0</v>
      </c>
      <c r="P131" s="61" t="str">
        <f t="shared" si="23"/>
        <v/>
      </c>
      <c r="Q131" s="62" t="str">
        <f t="shared" si="16"/>
        <v/>
      </c>
      <c r="R131" s="59"/>
      <c r="S131" s="54"/>
      <c r="T131" s="60"/>
      <c r="U131" s="56">
        <f t="shared" si="17"/>
        <v>0</v>
      </c>
      <c r="V131" s="61" t="str">
        <f t="shared" si="24"/>
        <v/>
      </c>
      <c r="W131" s="62" t="str">
        <f t="shared" si="19"/>
        <v/>
      </c>
      <c r="X131" s="59"/>
      <c r="Y131" s="54"/>
      <c r="Z131" s="60"/>
      <c r="AA131" s="56">
        <f t="shared" si="20"/>
        <v>0</v>
      </c>
      <c r="AB131" s="61" t="str">
        <f t="shared" si="25"/>
        <v/>
      </c>
      <c r="AC131" s="62" t="str">
        <f t="shared" si="22"/>
        <v/>
      </c>
    </row>
    <row r="132" spans="1:29">
      <c r="B132" s="64" t="str">
        <f>[1]!ArticleCode('Detail Verwarm San Vent'!Art_62.60.)</f>
        <v>62.60.</v>
      </c>
      <c r="C132" s="65" t="str">
        <f>[1]!ArticleDescription('Detail Verwarm San Vent'!Art_62.60.)</f>
        <v>muurmengkranen - algemeen</v>
      </c>
      <c r="D132" s="54"/>
      <c r="E132" s="54"/>
      <c r="F132" s="54"/>
      <c r="G132" s="54"/>
      <c r="H132" s="56"/>
      <c r="I132" s="56"/>
      <c r="J132" s="57"/>
      <c r="K132" s="58"/>
      <c r="L132" s="59"/>
      <c r="M132" s="54"/>
      <c r="N132" s="60"/>
      <c r="O132" s="56">
        <f t="shared" si="14"/>
        <v>0</v>
      </c>
      <c r="P132" s="61" t="str">
        <f t="shared" si="23"/>
        <v/>
      </c>
      <c r="Q132" s="62" t="str">
        <f t="shared" si="16"/>
        <v/>
      </c>
      <c r="R132" s="59"/>
      <c r="S132" s="54"/>
      <c r="T132" s="60"/>
      <c r="U132" s="56">
        <f t="shared" si="17"/>
        <v>0</v>
      </c>
      <c r="V132" s="61" t="str">
        <f t="shared" si="24"/>
        <v/>
      </c>
      <c r="W132" s="62" t="str">
        <f t="shared" si="19"/>
        <v/>
      </c>
      <c r="X132" s="59"/>
      <c r="Y132" s="54"/>
      <c r="Z132" s="60"/>
      <c r="AA132" s="56">
        <f t="shared" si="20"/>
        <v>0</v>
      </c>
      <c r="AB132" s="61" t="str">
        <f t="shared" si="25"/>
        <v/>
      </c>
      <c r="AC132" s="62" t="str">
        <f t="shared" si="22"/>
        <v/>
      </c>
    </row>
    <row r="133" spans="1:29">
      <c r="A133" s="63">
        <f>A131+1</f>
        <v>52</v>
      </c>
      <c r="B133" s="64" t="str">
        <f>[1]!ArticleCode('Detail Verwarm San Vent'!Art_62.62.)</f>
        <v>62.62.</v>
      </c>
      <c r="C133" s="65" t="str">
        <f>[1]!ArticleDescription('Detail Verwarm San Vent'!Art_62.62.)</f>
        <v>muurmengkranen – douchemengkraan/armatuur opbouw -thermostatisch</v>
      </c>
      <c r="D133" s="54" t="str">
        <f>[1]!ArticleMeasureType('Detail Verwarm San Vent'!Art_62.62.)</f>
        <v>FH</v>
      </c>
      <c r="E133" s="54" t="str">
        <f>[1]!ArticleMeasureUnit('Detail Verwarm San Vent'!Art_62.62.)</f>
        <v>st</v>
      </c>
      <c r="F133" s="72">
        <f>[1]!ArticleQuantity('Detail Verwarm San Vent'!Art_62.62.)</f>
        <v>1</v>
      </c>
      <c r="G133" s="54"/>
      <c r="H133" s="56"/>
      <c r="I133" s="56">
        <f>IF(RIGHT($D133,1)="-","************",ROUND(IF(NOT(ISNUMBER(G133)),IF(NOT(ISNUMBER(F133)),1,F133),G133)*H133,2))</f>
        <v>0</v>
      </c>
      <c r="J133" s="57"/>
      <c r="K133" s="58"/>
      <c r="L133" s="59"/>
      <c r="M133" s="54"/>
      <c r="N133" s="60"/>
      <c r="O133" s="56">
        <f t="shared" si="14"/>
        <v>0</v>
      </c>
      <c r="P133" s="61" t="str">
        <f t="shared" si="23"/>
        <v/>
      </c>
      <c r="Q133" s="62" t="str">
        <f t="shared" si="16"/>
        <v/>
      </c>
      <c r="R133" s="59"/>
      <c r="S133" s="54"/>
      <c r="T133" s="60"/>
      <c r="U133" s="56">
        <f t="shared" si="17"/>
        <v>0</v>
      </c>
      <c r="V133" s="61" t="str">
        <f t="shared" si="24"/>
        <v/>
      </c>
      <c r="W133" s="62" t="str">
        <f t="shared" si="19"/>
        <v/>
      </c>
      <c r="X133" s="59"/>
      <c r="Y133" s="54"/>
      <c r="Z133" s="60"/>
      <c r="AA133" s="56">
        <f t="shared" si="20"/>
        <v>0</v>
      </c>
      <c r="AB133" s="61" t="str">
        <f t="shared" si="25"/>
        <v/>
      </c>
      <c r="AC133" s="62" t="str">
        <f t="shared" si="22"/>
        <v/>
      </c>
    </row>
    <row r="134" spans="1:29">
      <c r="B134" s="64" t="str">
        <f>[1]!ArticleCode('Detail Verwarm San Vent'!Art_62.63.)</f>
        <v>62.63.</v>
      </c>
      <c r="C134" s="65" t="str">
        <f>[1]!ArticleDescription('Detail Verwarm San Vent'!Art_62.63.)</f>
        <v>muurmengkranen – douchemengkraan/armatuur inbouw</v>
      </c>
      <c r="D134" s="54"/>
      <c r="E134" s="54"/>
      <c r="F134" s="54"/>
      <c r="G134" s="54"/>
      <c r="H134" s="56"/>
      <c r="I134" s="56"/>
      <c r="J134" s="57"/>
      <c r="K134" s="58"/>
      <c r="L134" s="59"/>
      <c r="M134" s="54"/>
      <c r="N134" s="60"/>
      <c r="O134" s="56">
        <f t="shared" ref="O134:O195" si="26">IF(MID($D134,3,1)="-","*********",ROUND(IF(NOT(ISNUMBER($G134)),IF(NOT(ISNUMBER($F134)),1,$F134),$G134)*(IF(NOT(ISNUMBER(N134)),L134,N134)),2))</f>
        <v>0</v>
      </c>
      <c r="P134" s="61" t="str">
        <f t="shared" si="23"/>
        <v/>
      </c>
      <c r="Q134" s="62" t="str">
        <f t="shared" ref="Q134:Q195" si="27">IF($K134=0,"",IF(NOT(ISNUMBER(N134)),L134,N134)/$K134-1)</f>
        <v/>
      </c>
      <c r="R134" s="59"/>
      <c r="S134" s="54"/>
      <c r="T134" s="60"/>
      <c r="U134" s="56">
        <f t="shared" ref="U134:U195" si="28">IF(MID($D134,3,1)="-","*********",ROUND(IF(NOT(ISNUMBER($G134)),IF(NOT(ISNUMBER($F134)),1,$F134),$G134)*(IF(NOT(ISNUMBER(T134)),R134,T134)),2))</f>
        <v>0</v>
      </c>
      <c r="V134" s="61" t="str">
        <f t="shared" si="24"/>
        <v/>
      </c>
      <c r="W134" s="62" t="str">
        <f t="shared" ref="W134:W195" si="29">IF($K134=0,"",IF(NOT(ISNUMBER(T134)),R134,T134)/$K134-1)</f>
        <v/>
      </c>
      <c r="X134" s="59"/>
      <c r="Y134" s="54"/>
      <c r="Z134" s="60"/>
      <c r="AA134" s="56">
        <f t="shared" ref="AA134:AA195" si="30">IF(MID($D134,3,1)="-","*********",ROUND(IF(NOT(ISNUMBER($G134)),IF(NOT(ISNUMBER($F134)),1,$F134),$G134)*(IF(NOT(ISNUMBER(Z134)),X134,Z134)),2))</f>
        <v>0</v>
      </c>
      <c r="AB134" s="61" t="str">
        <f t="shared" si="25"/>
        <v/>
      </c>
      <c r="AC134" s="62" t="str">
        <f t="shared" ref="AC134:AC195" si="31">IF($K134=0,"",IF(NOT(ISNUMBER(Z134)),X134,Z134)/$K134-1)</f>
        <v/>
      </c>
    </row>
    <row r="135" spans="1:29">
      <c r="A135" s="63">
        <f>A133+1</f>
        <v>53</v>
      </c>
      <c r="B135" s="64" t="str">
        <f>[1]!ArticleCode('Detail Verwarm San Vent'!Art_62.63.10.)</f>
        <v>62.63.10.</v>
      </c>
      <c r="C135" s="65" t="str">
        <f>[1]!ArticleDescription('Detail Verwarm San Vent'!Art_62.63.10.)</f>
        <v>muurmengkranen – douchemengkraan/armatuur inbouw - kraan</v>
      </c>
      <c r="D135" s="54" t="str">
        <f>[1]!ArticleMeasureType('Detail Verwarm San Vent'!Art_62.63.10.)</f>
        <v>FH</v>
      </c>
      <c r="E135" s="54" t="str">
        <f>[1]!ArticleMeasureUnit('Detail Verwarm San Vent'!Art_62.63.10.)</f>
        <v>st</v>
      </c>
      <c r="F135" s="72">
        <f>[1]!ArticleQuantity('Detail Verwarm San Vent'!Art_62.63.10.)</f>
        <v>4</v>
      </c>
      <c r="G135" s="54"/>
      <c r="H135" s="56"/>
      <c r="I135" s="56">
        <f>IF(RIGHT($D135,1)="-","************",ROUND(IF(NOT(ISNUMBER(G135)),IF(NOT(ISNUMBER(F135)),1,F135),G135)*H135,2))</f>
        <v>0</v>
      </c>
      <c r="J135" s="57"/>
      <c r="K135" s="58"/>
      <c r="L135" s="59"/>
      <c r="M135" s="54"/>
      <c r="N135" s="60"/>
      <c r="O135" s="56">
        <f t="shared" si="26"/>
        <v>0</v>
      </c>
      <c r="P135" s="61" t="str">
        <f t="shared" si="23"/>
        <v/>
      </c>
      <c r="Q135" s="62" t="str">
        <f t="shared" si="27"/>
        <v/>
      </c>
      <c r="R135" s="59"/>
      <c r="S135" s="54"/>
      <c r="T135" s="60"/>
      <c r="U135" s="56">
        <f t="shared" si="28"/>
        <v>0</v>
      </c>
      <c r="V135" s="61" t="str">
        <f t="shared" si="24"/>
        <v/>
      </c>
      <c r="W135" s="62" t="str">
        <f t="shared" si="29"/>
        <v/>
      </c>
      <c r="X135" s="59"/>
      <c r="Y135" s="54"/>
      <c r="Z135" s="60"/>
      <c r="AA135" s="56">
        <f t="shared" si="30"/>
        <v>0</v>
      </c>
      <c r="AB135" s="61" t="str">
        <f t="shared" si="25"/>
        <v/>
      </c>
      <c r="AC135" s="62" t="str">
        <f t="shared" si="31"/>
        <v/>
      </c>
    </row>
    <row r="136" spans="1:29">
      <c r="B136" s="64" t="str">
        <f>[1]!ArticleCode('Detail Verwarm San Vent'!Art_62.70.)</f>
        <v>62.70.</v>
      </c>
      <c r="C136" s="65" t="str">
        <f>[1]!ArticleDescription('Detail Verwarm San Vent'!Art_62.70.)</f>
        <v>regenwaterpompen - algemeen</v>
      </c>
      <c r="D136" s="54"/>
      <c r="E136" s="54"/>
      <c r="F136" s="54"/>
      <c r="G136" s="54"/>
      <c r="H136" s="56"/>
      <c r="I136" s="56"/>
      <c r="J136" s="57"/>
      <c r="K136" s="58"/>
      <c r="L136" s="59"/>
      <c r="M136" s="54"/>
      <c r="N136" s="60"/>
      <c r="O136" s="56">
        <f t="shared" si="26"/>
        <v>0</v>
      </c>
      <c r="P136" s="61" t="str">
        <f t="shared" ref="P136:P167" si="32">IF(O$228=0,"",O136/O$228)</f>
        <v/>
      </c>
      <c r="Q136" s="62" t="str">
        <f t="shared" si="27"/>
        <v/>
      </c>
      <c r="R136" s="59"/>
      <c r="S136" s="54"/>
      <c r="T136" s="60"/>
      <c r="U136" s="56">
        <f t="shared" si="28"/>
        <v>0</v>
      </c>
      <c r="V136" s="61" t="str">
        <f t="shared" ref="V136:V167" si="33">IF(U$228=0,"",U136/U$228)</f>
        <v/>
      </c>
      <c r="W136" s="62" t="str">
        <f t="shared" si="29"/>
        <v/>
      </c>
      <c r="X136" s="59"/>
      <c r="Y136" s="54"/>
      <c r="Z136" s="60"/>
      <c r="AA136" s="56">
        <f t="shared" si="30"/>
        <v>0</v>
      </c>
      <c r="AB136" s="61" t="str">
        <f t="shared" ref="AB136:AB167" si="34">IF(AA$228=0,"",AA136/AA$228)</f>
        <v/>
      </c>
      <c r="AC136" s="62" t="str">
        <f t="shared" si="31"/>
        <v/>
      </c>
    </row>
    <row r="137" spans="1:29">
      <c r="A137" s="63">
        <f>A135+1</f>
        <v>54</v>
      </c>
      <c r="B137" s="64" t="str">
        <f>[1]!ArticleCode('Detail Verwarm San Vent'!Art_62.71.)</f>
        <v>62.71.</v>
      </c>
      <c r="C137" s="65" t="str">
        <f>[1]!ArticleDescription('Detail Verwarm San Vent'!Art_62.71.)</f>
        <v xml:space="preserve">regenwaterpompen – zelfaanzuigende hydrofoorgroep met automatische bijvulling </v>
      </c>
      <c r="D137" s="54" t="str">
        <f>[1]!ArticleMeasureType('Detail Verwarm San Vent'!Art_62.71.)</f>
        <v>FH</v>
      </c>
      <c r="E137" s="54" t="str">
        <f>[1]!ArticleMeasureUnit('Detail Verwarm San Vent'!Art_62.71.)</f>
        <v>st</v>
      </c>
      <c r="F137" s="72">
        <f>[1]!ArticleQuantity('Detail Verwarm San Vent'!Art_62.71.)</f>
        <v>1</v>
      </c>
      <c r="G137" s="54"/>
      <c r="H137" s="56"/>
      <c r="I137" s="56">
        <f>IF(RIGHT($D137,1)="-","************",ROUND(IF(NOT(ISNUMBER(G137)),IF(NOT(ISNUMBER(F137)),1,F137),G137)*H137,2))</f>
        <v>0</v>
      </c>
      <c r="J137" s="57"/>
      <c r="K137" s="58"/>
      <c r="L137" s="59"/>
      <c r="M137" s="54"/>
      <c r="N137" s="60"/>
      <c r="O137" s="56">
        <f t="shared" si="26"/>
        <v>0</v>
      </c>
      <c r="P137" s="61" t="str">
        <f t="shared" si="32"/>
        <v/>
      </c>
      <c r="Q137" s="62" t="str">
        <f t="shared" si="27"/>
        <v/>
      </c>
      <c r="R137" s="59"/>
      <c r="S137" s="54"/>
      <c r="T137" s="60"/>
      <c r="U137" s="56">
        <f t="shared" si="28"/>
        <v>0</v>
      </c>
      <c r="V137" s="61" t="str">
        <f t="shared" si="33"/>
        <v/>
      </c>
      <c r="W137" s="62" t="str">
        <f t="shared" si="29"/>
        <v/>
      </c>
      <c r="X137" s="59"/>
      <c r="Y137" s="54"/>
      <c r="Z137" s="60"/>
      <c r="AA137" s="56">
        <f t="shared" si="30"/>
        <v>0</v>
      </c>
      <c r="AB137" s="61" t="str">
        <f t="shared" si="34"/>
        <v/>
      </c>
      <c r="AC137" s="62" t="str">
        <f t="shared" si="31"/>
        <v/>
      </c>
    </row>
    <row r="138" spans="1:29">
      <c r="B138" s="66"/>
      <c r="C138" s="67"/>
      <c r="D138" s="68"/>
      <c r="E138" s="67"/>
      <c r="F138" s="67"/>
      <c r="G138" s="67"/>
      <c r="H138" s="69"/>
      <c r="I138" s="69"/>
      <c r="J138" s="70">
        <f>SUBTOTAL(9,I115:I137)</f>
        <v>0</v>
      </c>
      <c r="K138" s="58"/>
      <c r="L138" s="59"/>
      <c r="M138" s="54"/>
      <c r="N138" s="60"/>
      <c r="O138" s="56">
        <f t="shared" si="26"/>
        <v>0</v>
      </c>
      <c r="P138" s="61" t="str">
        <f t="shared" si="32"/>
        <v/>
      </c>
      <c r="Q138" s="62" t="str">
        <f t="shared" si="27"/>
        <v/>
      </c>
      <c r="R138" s="59"/>
      <c r="S138" s="54"/>
      <c r="T138" s="60"/>
      <c r="U138" s="56">
        <f t="shared" si="28"/>
        <v>0</v>
      </c>
      <c r="V138" s="61" t="str">
        <f t="shared" si="33"/>
        <v/>
      </c>
      <c r="W138" s="62" t="str">
        <f t="shared" si="29"/>
        <v/>
      </c>
      <c r="X138" s="59"/>
      <c r="Y138" s="54"/>
      <c r="Z138" s="60"/>
      <c r="AA138" s="56">
        <f t="shared" si="30"/>
        <v>0</v>
      </c>
      <c r="AB138" s="61" t="str">
        <f t="shared" si="34"/>
        <v/>
      </c>
      <c r="AC138" s="62" t="str">
        <f t="shared" si="31"/>
        <v/>
      </c>
    </row>
    <row r="139" spans="1:29">
      <c r="B139" s="71"/>
      <c r="C139" s="54"/>
      <c r="D139" s="54"/>
      <c r="E139" s="54"/>
      <c r="F139" s="54"/>
      <c r="G139" s="54"/>
      <c r="H139" s="56"/>
      <c r="I139" s="56"/>
      <c r="J139" s="57"/>
      <c r="K139" s="58"/>
      <c r="L139" s="59"/>
      <c r="M139" s="54"/>
      <c r="N139" s="60"/>
      <c r="O139" s="56">
        <f t="shared" si="26"/>
        <v>0</v>
      </c>
      <c r="P139" s="61" t="str">
        <f t="shared" si="32"/>
        <v/>
      </c>
      <c r="Q139" s="62" t="str">
        <f t="shared" si="27"/>
        <v/>
      </c>
      <c r="R139" s="59"/>
      <c r="S139" s="54"/>
      <c r="T139" s="60"/>
      <c r="U139" s="56">
        <f t="shared" si="28"/>
        <v>0</v>
      </c>
      <c r="V139" s="61" t="str">
        <f t="shared" si="33"/>
        <v/>
      </c>
      <c r="W139" s="62" t="str">
        <f t="shared" si="29"/>
        <v/>
      </c>
      <c r="X139" s="59"/>
      <c r="Y139" s="54"/>
      <c r="Z139" s="60"/>
      <c r="AA139" s="56">
        <f t="shared" si="30"/>
        <v>0</v>
      </c>
      <c r="AB139" s="61" t="str">
        <f t="shared" si="34"/>
        <v/>
      </c>
      <c r="AC139" s="62" t="str">
        <f t="shared" si="31"/>
        <v/>
      </c>
    </row>
    <row r="140" spans="1:29">
      <c r="B140" s="53" t="s">
        <v>467</v>
      </c>
      <c r="C140" s="54"/>
      <c r="D140" s="55"/>
      <c r="E140" s="54"/>
      <c r="F140" s="54"/>
      <c r="G140" s="54"/>
      <c r="H140" s="56"/>
      <c r="I140" s="56"/>
      <c r="J140" s="57"/>
      <c r="K140" s="58"/>
      <c r="L140" s="59"/>
      <c r="M140" s="54"/>
      <c r="N140" s="60"/>
      <c r="O140" s="56">
        <f t="shared" si="26"/>
        <v>0</v>
      </c>
      <c r="P140" s="61" t="str">
        <f t="shared" si="32"/>
        <v/>
      </c>
      <c r="Q140" s="62" t="str">
        <f t="shared" si="27"/>
        <v/>
      </c>
      <c r="R140" s="59"/>
      <c r="S140" s="54"/>
      <c r="T140" s="60"/>
      <c r="U140" s="56">
        <f t="shared" si="28"/>
        <v>0</v>
      </c>
      <c r="V140" s="61" t="str">
        <f t="shared" si="33"/>
        <v/>
      </c>
      <c r="W140" s="62" t="str">
        <f t="shared" si="29"/>
        <v/>
      </c>
      <c r="X140" s="59"/>
      <c r="Y140" s="54"/>
      <c r="Z140" s="60"/>
      <c r="AA140" s="56">
        <f t="shared" si="30"/>
        <v>0</v>
      </c>
      <c r="AB140" s="61" t="str">
        <f t="shared" si="34"/>
        <v/>
      </c>
      <c r="AC140" s="62" t="str">
        <f t="shared" si="31"/>
        <v/>
      </c>
    </row>
    <row r="141" spans="1:29">
      <c r="B141" s="64" t="str">
        <f>[1]!ArticleCode('Detail Verwarm San Vent'!Art_64.)</f>
        <v>64.</v>
      </c>
      <c r="C141" s="65" t="str">
        <f>[1]!ArticleDescription('Detail Verwarm San Vent'!Art_64.)</f>
        <v>GASINSTALLATIES</v>
      </c>
      <c r="D141" s="54"/>
      <c r="E141" s="54"/>
      <c r="F141" s="54"/>
      <c r="G141" s="54"/>
      <c r="H141" s="56"/>
      <c r="I141" s="56"/>
      <c r="J141" s="57"/>
      <c r="K141" s="58"/>
      <c r="L141" s="59"/>
      <c r="M141" s="54"/>
      <c r="N141" s="60"/>
      <c r="O141" s="56">
        <f t="shared" si="26"/>
        <v>0</v>
      </c>
      <c r="P141" s="61" t="str">
        <f t="shared" si="32"/>
        <v/>
      </c>
      <c r="Q141" s="62" t="str">
        <f t="shared" si="27"/>
        <v/>
      </c>
      <c r="R141" s="59"/>
      <c r="S141" s="54"/>
      <c r="T141" s="60"/>
      <c r="U141" s="56">
        <f t="shared" si="28"/>
        <v>0</v>
      </c>
      <c r="V141" s="61" t="str">
        <f t="shared" si="33"/>
        <v/>
      </c>
      <c r="W141" s="62" t="str">
        <f t="shared" si="29"/>
        <v/>
      </c>
      <c r="X141" s="59"/>
      <c r="Y141" s="54"/>
      <c r="Z141" s="60"/>
      <c r="AA141" s="56">
        <f t="shared" si="30"/>
        <v>0</v>
      </c>
      <c r="AB141" s="61" t="str">
        <f t="shared" si="34"/>
        <v/>
      </c>
      <c r="AC141" s="62" t="str">
        <f t="shared" si="31"/>
        <v/>
      </c>
    </row>
    <row r="142" spans="1:29">
      <c r="B142" s="64" t="str">
        <f>[1]!ArticleCode('Detail Verwarm San Vent'!Art_64.00.)</f>
        <v>64.00.</v>
      </c>
      <c r="C142" s="65" t="str">
        <f>[1]!ArticleDescription('Detail Verwarm San Vent'!Art_64.00.)</f>
        <v>gasinstallaties - algemeen</v>
      </c>
      <c r="D142" s="54"/>
      <c r="E142" s="54"/>
      <c r="F142" s="54"/>
      <c r="G142" s="54"/>
      <c r="H142" s="56"/>
      <c r="I142" s="56"/>
      <c r="J142" s="57"/>
      <c r="K142" s="58"/>
      <c r="L142" s="59"/>
      <c r="M142" s="54"/>
      <c r="N142" s="60"/>
      <c r="O142" s="56">
        <f t="shared" si="26"/>
        <v>0</v>
      </c>
      <c r="P142" s="61" t="str">
        <f t="shared" si="32"/>
        <v/>
      </c>
      <c r="Q142" s="62" t="str">
        <f t="shared" si="27"/>
        <v/>
      </c>
      <c r="R142" s="59"/>
      <c r="S142" s="54"/>
      <c r="T142" s="60"/>
      <c r="U142" s="56">
        <f t="shared" si="28"/>
        <v>0</v>
      </c>
      <c r="V142" s="61" t="str">
        <f t="shared" si="33"/>
        <v/>
      </c>
      <c r="W142" s="62" t="str">
        <f t="shared" si="29"/>
        <v/>
      </c>
      <c r="X142" s="59"/>
      <c r="Y142" s="54"/>
      <c r="Z142" s="60"/>
      <c r="AA142" s="56">
        <f t="shared" si="30"/>
        <v>0</v>
      </c>
      <c r="AB142" s="61" t="str">
        <f t="shared" si="34"/>
        <v/>
      </c>
      <c r="AC142" s="62" t="str">
        <f t="shared" si="31"/>
        <v/>
      </c>
    </row>
    <row r="143" spans="1:29">
      <c r="B143" s="64" t="str">
        <f>[1]!ArticleCode('Detail Verwarm San Vent'!Art_64.10.)</f>
        <v>64.10.</v>
      </c>
      <c r="C143" s="65" t="str">
        <f>[1]!ArticleDescription('Detail Verwarm San Vent'!Art_64.10.)</f>
        <v>gasleidingen - algemeen</v>
      </c>
      <c r="D143" s="54"/>
      <c r="E143" s="54"/>
      <c r="F143" s="54"/>
      <c r="G143" s="54"/>
      <c r="H143" s="56"/>
      <c r="I143" s="56"/>
      <c r="J143" s="57"/>
      <c r="K143" s="58"/>
      <c r="L143" s="59"/>
      <c r="M143" s="54"/>
      <c r="N143" s="60"/>
      <c r="O143" s="56">
        <f t="shared" si="26"/>
        <v>0</v>
      </c>
      <c r="P143" s="61" t="str">
        <f t="shared" si="32"/>
        <v/>
      </c>
      <c r="Q143" s="62" t="str">
        <f t="shared" si="27"/>
        <v/>
      </c>
      <c r="R143" s="59"/>
      <c r="S143" s="54"/>
      <c r="T143" s="60"/>
      <c r="U143" s="56">
        <f t="shared" si="28"/>
        <v>0</v>
      </c>
      <c r="V143" s="61" t="str">
        <f t="shared" si="33"/>
        <v/>
      </c>
      <c r="W143" s="62" t="str">
        <f t="shared" si="29"/>
        <v/>
      </c>
      <c r="X143" s="59"/>
      <c r="Y143" s="54"/>
      <c r="Z143" s="60"/>
      <c r="AA143" s="56">
        <f t="shared" si="30"/>
        <v>0</v>
      </c>
      <c r="AB143" s="61" t="str">
        <f t="shared" si="34"/>
        <v/>
      </c>
      <c r="AC143" s="62" t="str">
        <f t="shared" si="31"/>
        <v/>
      </c>
    </row>
    <row r="144" spans="1:29">
      <c r="A144" s="63">
        <f>A137+1</f>
        <v>55</v>
      </c>
      <c r="B144" s="64" t="str">
        <f>[1]!ArticleCode('Detail Verwarm San Vent'!Art_64.11.)</f>
        <v>64.11.</v>
      </c>
      <c r="C144" s="65" t="str">
        <f>[1]!ArticleDescription('Detail Verwarm San Vent'!Art_64.11.)</f>
        <v xml:space="preserve">gasleidingen - staal </v>
      </c>
      <c r="D144" s="54" t="str">
        <f>[1]!ArticleMeasureType('Detail Verwarm San Vent'!Art_64.11.)</f>
        <v>FH</v>
      </c>
      <c r="E144" s="54" t="str">
        <f>[1]!ArticleMeasureUnit('Detail Verwarm San Vent'!Art_64.11.)</f>
        <v>m</v>
      </c>
      <c r="F144" s="73">
        <f>[1]!ArticleQuantity('Detail Verwarm San Vent'!Art_64.11.)</f>
        <v>13</v>
      </c>
      <c r="G144" s="54"/>
      <c r="H144" s="56"/>
      <c r="I144" s="56">
        <f>IF(RIGHT($D144,1)="-","************",ROUND(IF(NOT(ISNUMBER(G144)),IF(NOT(ISNUMBER(F144)),1,F144),G144)*H144,2))</f>
        <v>0</v>
      </c>
      <c r="J144" s="57"/>
      <c r="K144" s="58"/>
      <c r="L144" s="59"/>
      <c r="M144" s="54"/>
      <c r="N144" s="60"/>
      <c r="O144" s="56">
        <f t="shared" si="26"/>
        <v>0</v>
      </c>
      <c r="P144" s="61" t="str">
        <f t="shared" si="32"/>
        <v/>
      </c>
      <c r="Q144" s="62" t="str">
        <f t="shared" si="27"/>
        <v/>
      </c>
      <c r="R144" s="59"/>
      <c r="S144" s="54"/>
      <c r="T144" s="60"/>
      <c r="U144" s="56">
        <f t="shared" si="28"/>
        <v>0</v>
      </c>
      <c r="V144" s="61" t="str">
        <f t="shared" si="33"/>
        <v/>
      </c>
      <c r="W144" s="62" t="str">
        <f t="shared" si="29"/>
        <v/>
      </c>
      <c r="X144" s="59"/>
      <c r="Y144" s="54"/>
      <c r="Z144" s="60"/>
      <c r="AA144" s="56">
        <f t="shared" si="30"/>
        <v>0</v>
      </c>
      <c r="AB144" s="61" t="str">
        <f t="shared" si="34"/>
        <v/>
      </c>
      <c r="AC144" s="62" t="str">
        <f t="shared" si="31"/>
        <v/>
      </c>
    </row>
    <row r="145" spans="1:29">
      <c r="A145" s="63">
        <f>A144+1</f>
        <v>56</v>
      </c>
      <c r="B145" s="64" t="str">
        <f>[1]!ArticleCode('Detail Verwarm San Vent'!Art_64.13.)</f>
        <v>64.13.</v>
      </c>
      <c r="C145" s="65" t="str">
        <f>[1]!ArticleDescription('Detail Verwarm San Vent'!Art_64.13.)</f>
        <v xml:space="preserve">gasleidingen - PE </v>
      </c>
      <c r="D145" s="54" t="str">
        <f>[1]!ArticleMeasureType('Detail Verwarm San Vent'!Art_64.13.)</f>
        <v>FH</v>
      </c>
      <c r="E145" s="54" t="str">
        <f>[1]!ArticleMeasureUnit('Detail Verwarm San Vent'!Art_64.13.)</f>
        <v>m</v>
      </c>
      <c r="F145" s="73">
        <f>[1]!ArticleQuantity('Detail Verwarm San Vent'!Art_64.13.)</f>
        <v>14</v>
      </c>
      <c r="G145" s="54"/>
      <c r="H145" s="56"/>
      <c r="I145" s="56">
        <f>IF(RIGHT($D145,1)="-","************",ROUND(IF(NOT(ISNUMBER(G145)),IF(NOT(ISNUMBER(F145)),1,F145),G145)*H145,2))</f>
        <v>0</v>
      </c>
      <c r="J145" s="57"/>
      <c r="K145" s="58"/>
      <c r="L145" s="59"/>
      <c r="M145" s="54"/>
      <c r="N145" s="60"/>
      <c r="O145" s="56">
        <f t="shared" si="26"/>
        <v>0</v>
      </c>
      <c r="P145" s="61" t="str">
        <f t="shared" si="32"/>
        <v/>
      </c>
      <c r="Q145" s="62" t="str">
        <f t="shared" si="27"/>
        <v/>
      </c>
      <c r="R145" s="59"/>
      <c r="S145" s="54"/>
      <c r="T145" s="60"/>
      <c r="U145" s="56">
        <f t="shared" si="28"/>
        <v>0</v>
      </c>
      <c r="V145" s="61" t="str">
        <f t="shared" si="33"/>
        <v/>
      </c>
      <c r="W145" s="62" t="str">
        <f t="shared" si="29"/>
        <v/>
      </c>
      <c r="X145" s="59"/>
      <c r="Y145" s="54"/>
      <c r="Z145" s="60"/>
      <c r="AA145" s="56">
        <f t="shared" si="30"/>
        <v>0</v>
      </c>
      <c r="AB145" s="61" t="str">
        <f t="shared" si="34"/>
        <v/>
      </c>
      <c r="AC145" s="62" t="str">
        <f t="shared" si="31"/>
        <v/>
      </c>
    </row>
    <row r="146" spans="1:29">
      <c r="B146" s="64" t="str">
        <f>[1]!ArticleCode('Detail Verwarm San Vent'!Art_64.20.)</f>
        <v>64.20.</v>
      </c>
      <c r="C146" s="65" t="str">
        <f>[1]!ArticleDescription('Detail Verwarm San Vent'!Art_64.20.)</f>
        <v>gaskranen - algemeen</v>
      </c>
      <c r="D146" s="54"/>
      <c r="E146" s="54"/>
      <c r="F146" s="54"/>
      <c r="G146" s="54"/>
      <c r="H146" s="56"/>
      <c r="I146" s="56"/>
      <c r="J146" s="57"/>
      <c r="K146" s="58"/>
      <c r="L146" s="59"/>
      <c r="M146" s="54"/>
      <c r="N146" s="60"/>
      <c r="O146" s="56">
        <f t="shared" si="26"/>
        <v>0</v>
      </c>
      <c r="P146" s="61" t="str">
        <f t="shared" si="32"/>
        <v/>
      </c>
      <c r="Q146" s="62" t="str">
        <f t="shared" si="27"/>
        <v/>
      </c>
      <c r="R146" s="59"/>
      <c r="S146" s="54"/>
      <c r="T146" s="60"/>
      <c r="U146" s="56">
        <f t="shared" si="28"/>
        <v>0</v>
      </c>
      <c r="V146" s="61" t="str">
        <f t="shared" si="33"/>
        <v/>
      </c>
      <c r="W146" s="62" t="str">
        <f t="shared" si="29"/>
        <v/>
      </c>
      <c r="X146" s="59"/>
      <c r="Y146" s="54"/>
      <c r="Z146" s="60"/>
      <c r="AA146" s="56">
        <f t="shared" si="30"/>
        <v>0</v>
      </c>
      <c r="AB146" s="61" t="str">
        <f t="shared" si="34"/>
        <v/>
      </c>
      <c r="AC146" s="62" t="str">
        <f t="shared" si="31"/>
        <v/>
      </c>
    </row>
    <row r="147" spans="1:29">
      <c r="A147" s="63">
        <f>A145+1</f>
        <v>57</v>
      </c>
      <c r="B147" s="64" t="str">
        <f>[1]!ArticleCode('Detail Verwarm San Vent'!Art_64.21.)</f>
        <v>64.21.</v>
      </c>
      <c r="C147" s="65" t="str">
        <f>[1]!ArticleDescription('Detail Verwarm San Vent'!Art_64.21.)</f>
        <v xml:space="preserve">gaskranen - gasfilter </v>
      </c>
      <c r="D147" s="54" t="str">
        <f>[1]!ArticleMeasureType('Detail Verwarm San Vent'!Art_64.21.)</f>
        <v/>
      </c>
      <c r="E147" s="54" t="str">
        <f>[1]!ArticleMeasureUnit('Detail Verwarm San Vent'!Art_64.21.)</f>
        <v>PM</v>
      </c>
      <c r="F147" s="72" t="str">
        <f>[1]!ArticleQuantity('Detail Verwarm San Vent'!Art_64.21.)</f>
        <v/>
      </c>
      <c r="G147" s="54"/>
      <c r="H147" s="56"/>
      <c r="I147" s="56">
        <f>IF(RIGHT($D147,1)="-","************",ROUND(IF(NOT(ISNUMBER(G147)),IF(NOT(ISNUMBER(F147)),1,F147),G147)*H147,2))</f>
        <v>0</v>
      </c>
      <c r="J147" s="57"/>
      <c r="K147" s="58"/>
      <c r="L147" s="59"/>
      <c r="M147" s="54"/>
      <c r="N147" s="60"/>
      <c r="O147" s="56">
        <f t="shared" si="26"/>
        <v>0</v>
      </c>
      <c r="P147" s="61" t="str">
        <f t="shared" si="32"/>
        <v/>
      </c>
      <c r="Q147" s="62" t="str">
        <f t="shared" si="27"/>
        <v/>
      </c>
      <c r="R147" s="59"/>
      <c r="S147" s="54"/>
      <c r="T147" s="60"/>
      <c r="U147" s="56">
        <f t="shared" si="28"/>
        <v>0</v>
      </c>
      <c r="V147" s="61" t="str">
        <f t="shared" si="33"/>
        <v/>
      </c>
      <c r="W147" s="62" t="str">
        <f t="shared" si="29"/>
        <v/>
      </c>
      <c r="X147" s="59"/>
      <c r="Y147" s="54"/>
      <c r="Z147" s="60"/>
      <c r="AA147" s="56">
        <f t="shared" si="30"/>
        <v>0</v>
      </c>
      <c r="AB147" s="61" t="str">
        <f t="shared" si="34"/>
        <v/>
      </c>
      <c r="AC147" s="62" t="str">
        <f t="shared" si="31"/>
        <v/>
      </c>
    </row>
    <row r="148" spans="1:29">
      <c r="A148" s="63">
        <f>A147+1</f>
        <v>58</v>
      </c>
      <c r="B148" s="64" t="str">
        <f>[1]!ArticleCode('Detail Verwarm San Vent'!Art_64.22.)</f>
        <v>64.22.</v>
      </c>
      <c r="C148" s="65" t="str">
        <f>[1]!ArticleDescription('Detail Verwarm San Vent'!Art_64.22.)</f>
        <v xml:space="preserve">gaskranen - afsluitkranen </v>
      </c>
      <c r="D148" s="54" t="str">
        <f>[1]!ArticleMeasureType('Detail Verwarm San Vent'!Art_64.22.)</f>
        <v/>
      </c>
      <c r="E148" s="54" t="str">
        <f>[1]!ArticleMeasureUnit('Detail Verwarm San Vent'!Art_64.22.)</f>
        <v>PM</v>
      </c>
      <c r="F148" s="72" t="str">
        <f>[1]!ArticleQuantity('Detail Verwarm San Vent'!Art_64.22.)</f>
        <v/>
      </c>
      <c r="G148" s="54"/>
      <c r="H148" s="56"/>
      <c r="I148" s="56">
        <f>IF(RIGHT($D148,1)="-","************",ROUND(IF(NOT(ISNUMBER(G148)),IF(NOT(ISNUMBER(F148)),1,F148),G148)*H148,2))</f>
        <v>0</v>
      </c>
      <c r="J148" s="57"/>
      <c r="K148" s="58"/>
      <c r="L148" s="59"/>
      <c r="M148" s="54"/>
      <c r="N148" s="60"/>
      <c r="O148" s="56">
        <f t="shared" si="26"/>
        <v>0</v>
      </c>
      <c r="P148" s="61" t="str">
        <f t="shared" si="32"/>
        <v/>
      </c>
      <c r="Q148" s="62" t="str">
        <f t="shared" si="27"/>
        <v/>
      </c>
      <c r="R148" s="59"/>
      <c r="S148" s="54"/>
      <c r="T148" s="60"/>
      <c r="U148" s="56">
        <f t="shared" si="28"/>
        <v>0</v>
      </c>
      <c r="V148" s="61" t="str">
        <f t="shared" si="33"/>
        <v/>
      </c>
      <c r="W148" s="62" t="str">
        <f t="shared" si="29"/>
        <v/>
      </c>
      <c r="X148" s="59"/>
      <c r="Y148" s="54"/>
      <c r="Z148" s="60"/>
      <c r="AA148" s="56">
        <f t="shared" si="30"/>
        <v>0</v>
      </c>
      <c r="AB148" s="61" t="str">
        <f t="shared" si="34"/>
        <v/>
      </c>
      <c r="AC148" s="62" t="str">
        <f t="shared" si="31"/>
        <v/>
      </c>
    </row>
    <row r="149" spans="1:29">
      <c r="A149" s="63">
        <f>A148+1</f>
        <v>59</v>
      </c>
      <c r="B149" s="64" t="str">
        <f>[1]!ArticleCode('Detail Verwarm San Vent'!Art_64.40.)</f>
        <v>64.40.</v>
      </c>
      <c r="C149" s="65" t="str">
        <f>[1]!ArticleDescription('Detail Verwarm San Vent'!Art_64.40.)</f>
        <v xml:space="preserve">gastoestellen – algemeen </v>
      </c>
      <c r="D149" s="54" t="str">
        <f>[1]!ArticleMeasureType('Detail Verwarm San Vent'!Art_64.40.)</f>
        <v/>
      </c>
      <c r="E149" s="54" t="str">
        <f>[1]!ArticleMeasureUnit('Detail Verwarm San Vent'!Art_64.40.)</f>
        <v>PM</v>
      </c>
      <c r="F149" s="72" t="str">
        <f>[1]!ArticleQuantity('Detail Verwarm San Vent'!Art_64.40.)</f>
        <v/>
      </c>
      <c r="G149" s="54"/>
      <c r="H149" s="56"/>
      <c r="I149" s="56">
        <f>IF(RIGHT($D149,1)="-","************",ROUND(IF(NOT(ISNUMBER(G149)),IF(NOT(ISNUMBER(F149)),1,F149),G149)*H149,2))</f>
        <v>0</v>
      </c>
      <c r="J149" s="57"/>
      <c r="K149" s="58"/>
      <c r="L149" s="59"/>
      <c r="M149" s="54"/>
      <c r="N149" s="60"/>
      <c r="O149" s="56">
        <f t="shared" si="26"/>
        <v>0</v>
      </c>
      <c r="P149" s="61" t="str">
        <f t="shared" si="32"/>
        <v/>
      </c>
      <c r="Q149" s="62" t="str">
        <f t="shared" si="27"/>
        <v/>
      </c>
      <c r="R149" s="59"/>
      <c r="S149" s="54"/>
      <c r="T149" s="60"/>
      <c r="U149" s="56">
        <f t="shared" si="28"/>
        <v>0</v>
      </c>
      <c r="V149" s="61" t="str">
        <f t="shared" si="33"/>
        <v/>
      </c>
      <c r="W149" s="62" t="str">
        <f t="shared" si="29"/>
        <v/>
      </c>
      <c r="X149" s="59"/>
      <c r="Y149" s="54"/>
      <c r="Z149" s="60"/>
      <c r="AA149" s="56">
        <f t="shared" si="30"/>
        <v>0</v>
      </c>
      <c r="AB149" s="61" t="str">
        <f t="shared" si="34"/>
        <v/>
      </c>
      <c r="AC149" s="62" t="str">
        <f t="shared" si="31"/>
        <v/>
      </c>
    </row>
    <row r="150" spans="1:29">
      <c r="B150" s="66"/>
      <c r="C150" s="67"/>
      <c r="D150" s="68"/>
      <c r="E150" s="67"/>
      <c r="F150" s="67"/>
      <c r="G150" s="67"/>
      <c r="H150" s="69"/>
      <c r="I150" s="69"/>
      <c r="J150" s="70">
        <f>SUBTOTAL(9,I141:I149)</f>
        <v>0</v>
      </c>
      <c r="K150" s="58"/>
      <c r="L150" s="59"/>
      <c r="M150" s="54"/>
      <c r="N150" s="60"/>
      <c r="O150" s="56">
        <f t="shared" si="26"/>
        <v>0</v>
      </c>
      <c r="P150" s="61" t="str">
        <f t="shared" si="32"/>
        <v/>
      </c>
      <c r="Q150" s="62" t="str">
        <f t="shared" si="27"/>
        <v/>
      </c>
      <c r="R150" s="59"/>
      <c r="S150" s="54"/>
      <c r="T150" s="60"/>
      <c r="U150" s="56">
        <f t="shared" si="28"/>
        <v>0</v>
      </c>
      <c r="V150" s="61" t="str">
        <f t="shared" si="33"/>
        <v/>
      </c>
      <c r="W150" s="62" t="str">
        <f t="shared" si="29"/>
        <v/>
      </c>
      <c r="X150" s="59"/>
      <c r="Y150" s="54"/>
      <c r="Z150" s="60"/>
      <c r="AA150" s="56">
        <f t="shared" si="30"/>
        <v>0</v>
      </c>
      <c r="AB150" s="61" t="str">
        <f t="shared" si="34"/>
        <v/>
      </c>
      <c r="AC150" s="62" t="str">
        <f t="shared" si="31"/>
        <v/>
      </c>
    </row>
    <row r="151" spans="1:29">
      <c r="B151" s="71"/>
      <c r="C151" s="54"/>
      <c r="D151" s="54"/>
      <c r="E151" s="54"/>
      <c r="F151" s="54"/>
      <c r="G151" s="54"/>
      <c r="H151" s="56"/>
      <c r="I151" s="56"/>
      <c r="J151" s="57"/>
      <c r="K151" s="58"/>
      <c r="L151" s="59"/>
      <c r="M151" s="54"/>
      <c r="N151" s="60"/>
      <c r="O151" s="56">
        <f t="shared" si="26"/>
        <v>0</v>
      </c>
      <c r="P151" s="61" t="str">
        <f t="shared" si="32"/>
        <v/>
      </c>
      <c r="Q151" s="62" t="str">
        <f t="shared" si="27"/>
        <v/>
      </c>
      <c r="R151" s="59"/>
      <c r="S151" s="54"/>
      <c r="T151" s="60"/>
      <c r="U151" s="56">
        <f t="shared" si="28"/>
        <v>0</v>
      </c>
      <c r="V151" s="61" t="str">
        <f t="shared" si="33"/>
        <v/>
      </c>
      <c r="W151" s="62" t="str">
        <f t="shared" si="29"/>
        <v/>
      </c>
      <c r="X151" s="59"/>
      <c r="Y151" s="54"/>
      <c r="Z151" s="60"/>
      <c r="AA151" s="56">
        <f t="shared" si="30"/>
        <v>0</v>
      </c>
      <c r="AB151" s="61" t="str">
        <f t="shared" si="34"/>
        <v/>
      </c>
      <c r="AC151" s="62" t="str">
        <f t="shared" si="31"/>
        <v/>
      </c>
    </row>
    <row r="152" spans="1:29">
      <c r="B152" s="53" t="s">
        <v>468</v>
      </c>
      <c r="C152" s="54"/>
      <c r="D152" s="55"/>
      <c r="E152" s="54"/>
      <c r="F152" s="54"/>
      <c r="G152" s="54"/>
      <c r="H152" s="56"/>
      <c r="I152" s="56"/>
      <c r="J152" s="57"/>
      <c r="K152" s="58"/>
      <c r="L152" s="59"/>
      <c r="M152" s="54"/>
      <c r="N152" s="60"/>
      <c r="O152" s="56">
        <f t="shared" si="26"/>
        <v>0</v>
      </c>
      <c r="P152" s="61" t="str">
        <f t="shared" si="32"/>
        <v/>
      </c>
      <c r="Q152" s="62" t="str">
        <f t="shared" si="27"/>
        <v/>
      </c>
      <c r="R152" s="59"/>
      <c r="S152" s="54"/>
      <c r="T152" s="60"/>
      <c r="U152" s="56">
        <f t="shared" si="28"/>
        <v>0</v>
      </c>
      <c r="V152" s="61" t="str">
        <f t="shared" si="33"/>
        <v/>
      </c>
      <c r="W152" s="62" t="str">
        <f t="shared" si="29"/>
        <v/>
      </c>
      <c r="X152" s="59"/>
      <c r="Y152" s="54"/>
      <c r="Z152" s="60"/>
      <c r="AA152" s="56">
        <f t="shared" si="30"/>
        <v>0</v>
      </c>
      <c r="AB152" s="61" t="str">
        <f t="shared" si="34"/>
        <v/>
      </c>
      <c r="AC152" s="62" t="str">
        <f t="shared" si="31"/>
        <v/>
      </c>
    </row>
    <row r="153" spans="1:29">
      <c r="B153" s="64" t="str">
        <f>[1]!ArticleCode('Detail Verwarm San Vent'!Art_65.)</f>
        <v>65.</v>
      </c>
      <c r="C153" s="65" t="str">
        <f>[1]!ArticleDescription('Detail Verwarm San Vent'!Art_65.)</f>
        <v>VERWARMING INDIVIDUELE INSTALLATIES</v>
      </c>
      <c r="D153" s="54"/>
      <c r="E153" s="54"/>
      <c r="F153" s="54"/>
      <c r="G153" s="54"/>
      <c r="H153" s="56"/>
      <c r="I153" s="56"/>
      <c r="J153" s="57"/>
      <c r="K153" s="58"/>
      <c r="L153" s="59"/>
      <c r="M153" s="54"/>
      <c r="N153" s="60"/>
      <c r="O153" s="56">
        <f t="shared" si="26"/>
        <v>0</v>
      </c>
      <c r="P153" s="61" t="str">
        <f t="shared" si="32"/>
        <v/>
      </c>
      <c r="Q153" s="62" t="str">
        <f t="shared" si="27"/>
        <v/>
      </c>
      <c r="R153" s="59"/>
      <c r="S153" s="54"/>
      <c r="T153" s="60"/>
      <c r="U153" s="56">
        <f t="shared" si="28"/>
        <v>0</v>
      </c>
      <c r="V153" s="61" t="str">
        <f t="shared" si="33"/>
        <v/>
      </c>
      <c r="W153" s="62" t="str">
        <f t="shared" si="29"/>
        <v/>
      </c>
      <c r="X153" s="59"/>
      <c r="Y153" s="54"/>
      <c r="Z153" s="60"/>
      <c r="AA153" s="56">
        <f t="shared" si="30"/>
        <v>0</v>
      </c>
      <c r="AB153" s="61" t="str">
        <f t="shared" si="34"/>
        <v/>
      </c>
      <c r="AC153" s="62" t="str">
        <f t="shared" si="31"/>
        <v/>
      </c>
    </row>
    <row r="154" spans="1:29">
      <c r="B154" s="64" t="str">
        <f>[1]!ArticleCode('Detail Verwarm San Vent'!Art_65.00.)</f>
        <v>65.00.</v>
      </c>
      <c r="C154" s="65" t="str">
        <f>[1]!ArticleDescription('Detail Verwarm San Vent'!Art_65.00.)</f>
        <v>verwarming individuele installaties - algemeen</v>
      </c>
      <c r="D154" s="54"/>
      <c r="E154" s="54"/>
      <c r="F154" s="54"/>
      <c r="G154" s="54"/>
      <c r="H154" s="56"/>
      <c r="I154" s="56"/>
      <c r="J154" s="57"/>
      <c r="K154" s="58"/>
      <c r="L154" s="59"/>
      <c r="M154" s="54"/>
      <c r="N154" s="60"/>
      <c r="O154" s="56">
        <f t="shared" si="26"/>
        <v>0</v>
      </c>
      <c r="P154" s="61" t="str">
        <f t="shared" si="32"/>
        <v/>
      </c>
      <c r="Q154" s="62" t="str">
        <f t="shared" si="27"/>
        <v/>
      </c>
      <c r="R154" s="59"/>
      <c r="S154" s="54"/>
      <c r="T154" s="60"/>
      <c r="U154" s="56">
        <f t="shared" si="28"/>
        <v>0</v>
      </c>
      <c r="V154" s="61" t="str">
        <f t="shared" si="33"/>
        <v/>
      </c>
      <c r="W154" s="62" t="str">
        <f t="shared" si="29"/>
        <v/>
      </c>
      <c r="X154" s="59"/>
      <c r="Y154" s="54"/>
      <c r="Z154" s="60"/>
      <c r="AA154" s="56">
        <f t="shared" si="30"/>
        <v>0</v>
      </c>
      <c r="AB154" s="61" t="str">
        <f t="shared" si="34"/>
        <v/>
      </c>
      <c r="AC154" s="62" t="str">
        <f t="shared" si="31"/>
        <v/>
      </c>
    </row>
    <row r="155" spans="1:29">
      <c r="A155" s="63">
        <f>A149+1</f>
        <v>60</v>
      </c>
      <c r="B155" s="64" t="str">
        <f>[1]!ArticleCode('Detail Verwarm San Vent'!Art_65.02.)</f>
        <v>65.02.</v>
      </c>
      <c r="C155" s="65" t="str">
        <f>[1]!ArticleDescription('Detail Verwarm San Vent'!Art_65.02.)</f>
        <v xml:space="preserve">verwarming individuele installaties – grenzen van de aanneming </v>
      </c>
      <c r="D155" s="54" t="str">
        <f>[1]!ArticleMeasureType('Detail Verwarm San Vent'!Art_65.02.)</f>
        <v/>
      </c>
      <c r="E155" s="54" t="str">
        <f>[1]!ArticleMeasureUnit('Detail Verwarm San Vent'!Art_65.02.)</f>
        <v>PM</v>
      </c>
      <c r="F155" s="72" t="str">
        <f>[1]!ArticleQuantity('Detail Verwarm San Vent'!Art_65.02.)</f>
        <v/>
      </c>
      <c r="G155" s="54"/>
      <c r="H155" s="56"/>
      <c r="I155" s="56">
        <f>IF(RIGHT($D155,1)="-","************",ROUND(IF(NOT(ISNUMBER(G155)),IF(NOT(ISNUMBER(F155)),1,F155),G155)*H155,2))</f>
        <v>0</v>
      </c>
      <c r="J155" s="57"/>
      <c r="K155" s="58"/>
      <c r="L155" s="59"/>
      <c r="M155" s="54"/>
      <c r="N155" s="60"/>
      <c r="O155" s="56">
        <f t="shared" si="26"/>
        <v>0</v>
      </c>
      <c r="P155" s="61" t="str">
        <f t="shared" si="32"/>
        <v/>
      </c>
      <c r="Q155" s="62" t="str">
        <f t="shared" si="27"/>
        <v/>
      </c>
      <c r="R155" s="59"/>
      <c r="S155" s="54"/>
      <c r="T155" s="60"/>
      <c r="U155" s="56">
        <f t="shared" si="28"/>
        <v>0</v>
      </c>
      <c r="V155" s="61" t="str">
        <f t="shared" si="33"/>
        <v/>
      </c>
      <c r="W155" s="62" t="str">
        <f t="shared" si="29"/>
        <v/>
      </c>
      <c r="X155" s="59"/>
      <c r="Y155" s="54"/>
      <c r="Z155" s="60"/>
      <c r="AA155" s="56">
        <f t="shared" si="30"/>
        <v>0</v>
      </c>
      <c r="AB155" s="61" t="str">
        <f t="shared" si="34"/>
        <v/>
      </c>
      <c r="AC155" s="62" t="str">
        <f t="shared" si="31"/>
        <v/>
      </c>
    </row>
    <row r="156" spans="1:29">
      <c r="B156" s="64" t="str">
        <f>[1]!ArticleCode('Detail Verwarm San Vent'!Art_65.20.)</f>
        <v>65.20.</v>
      </c>
      <c r="C156" s="65" t="str">
        <f>[1]!ArticleDescription('Detail Verwarm San Vent'!Art_65.20.)</f>
        <v>gaswandketels - algemeen</v>
      </c>
      <c r="D156" s="54"/>
      <c r="E156" s="54"/>
      <c r="F156" s="54"/>
      <c r="G156" s="54"/>
      <c r="H156" s="56"/>
      <c r="I156" s="56"/>
      <c r="J156" s="57"/>
      <c r="K156" s="58"/>
      <c r="L156" s="59"/>
      <c r="M156" s="54"/>
      <c r="N156" s="60"/>
      <c r="O156" s="56">
        <f t="shared" si="26"/>
        <v>0</v>
      </c>
      <c r="P156" s="61" t="str">
        <f t="shared" si="32"/>
        <v/>
      </c>
      <c r="Q156" s="62" t="str">
        <f t="shared" si="27"/>
        <v/>
      </c>
      <c r="R156" s="59"/>
      <c r="S156" s="54"/>
      <c r="T156" s="60"/>
      <c r="U156" s="56">
        <f t="shared" si="28"/>
        <v>0</v>
      </c>
      <c r="V156" s="61" t="str">
        <f t="shared" si="33"/>
        <v/>
      </c>
      <c r="W156" s="62" t="str">
        <f t="shared" si="29"/>
        <v/>
      </c>
      <c r="X156" s="59"/>
      <c r="Y156" s="54"/>
      <c r="Z156" s="60"/>
      <c r="AA156" s="56">
        <f t="shared" si="30"/>
        <v>0</v>
      </c>
      <c r="AB156" s="61" t="str">
        <f t="shared" si="34"/>
        <v/>
      </c>
      <c r="AC156" s="62" t="str">
        <f t="shared" si="31"/>
        <v/>
      </c>
    </row>
    <row r="157" spans="1:29">
      <c r="B157" s="64" t="str">
        <f>[1]!ArticleCode('Detail Verwarm San Vent'!Art_65.21.)</f>
        <v>65.21.</v>
      </c>
      <c r="C157" s="65" t="str">
        <f>[1]!ArticleDescription('Detail Verwarm San Vent'!Art_65.21.)</f>
        <v>gaswandketels - gesloten</v>
      </c>
      <c r="D157" s="54"/>
      <c r="E157" s="54"/>
      <c r="F157" s="54"/>
      <c r="G157" s="54"/>
      <c r="H157" s="56"/>
      <c r="I157" s="56"/>
      <c r="J157" s="57"/>
      <c r="K157" s="58"/>
      <c r="L157" s="59"/>
      <c r="M157" s="54"/>
      <c r="N157" s="60"/>
      <c r="O157" s="56">
        <f t="shared" si="26"/>
        <v>0</v>
      </c>
      <c r="P157" s="61" t="str">
        <f t="shared" si="32"/>
        <v/>
      </c>
      <c r="Q157" s="62" t="str">
        <f t="shared" si="27"/>
        <v/>
      </c>
      <c r="R157" s="59"/>
      <c r="S157" s="54"/>
      <c r="T157" s="60"/>
      <c r="U157" s="56">
        <f t="shared" si="28"/>
        <v>0</v>
      </c>
      <c r="V157" s="61" t="str">
        <f t="shared" si="33"/>
        <v/>
      </c>
      <c r="W157" s="62" t="str">
        <f t="shared" si="29"/>
        <v/>
      </c>
      <c r="X157" s="59"/>
      <c r="Y157" s="54"/>
      <c r="Z157" s="60"/>
      <c r="AA157" s="56">
        <f t="shared" si="30"/>
        <v>0</v>
      </c>
      <c r="AB157" s="61" t="str">
        <f t="shared" si="34"/>
        <v/>
      </c>
      <c r="AC157" s="62" t="str">
        <f t="shared" si="31"/>
        <v/>
      </c>
    </row>
    <row r="158" spans="1:29">
      <c r="A158" s="63">
        <f>A155+1</f>
        <v>61</v>
      </c>
      <c r="B158" s="64" t="str">
        <f>[1]!ArticleCode('Detail Verwarm San Vent'!Art_65.21.20.)</f>
        <v>65.21.20.</v>
      </c>
      <c r="C158" s="65" t="str">
        <f>[1]!ArticleDescription('Detail Verwarm San Vent'!Art_65.21.20.)</f>
        <v>gaswandketels - gesloten/CV &amp; SWW (recuperatie bestaand toestel)</v>
      </c>
      <c r="D158" s="54" t="str">
        <f>[1]!ArticleMeasureType('Detail Verwarm San Vent'!Art_65.21.20.)</f>
        <v>FH</v>
      </c>
      <c r="E158" s="54" t="str">
        <f>[1]!ArticleMeasureUnit('Detail Verwarm San Vent'!Art_65.21.20.)</f>
        <v>st</v>
      </c>
      <c r="F158" s="72">
        <f>[1]!ArticleQuantity('Detail Verwarm San Vent'!Art_65.21.20.)</f>
        <v>1</v>
      </c>
      <c r="G158" s="54"/>
      <c r="H158" s="56"/>
      <c r="I158" s="56">
        <f>IF(RIGHT($D158,1)="-","************",ROUND(IF(NOT(ISNUMBER(G158)),IF(NOT(ISNUMBER(F158)),1,F158),G158)*H158,2))</f>
        <v>0</v>
      </c>
      <c r="J158" s="57"/>
      <c r="K158" s="58"/>
      <c r="L158" s="59"/>
      <c r="M158" s="54"/>
      <c r="N158" s="60"/>
      <c r="O158" s="56">
        <f t="shared" si="26"/>
        <v>0</v>
      </c>
      <c r="P158" s="61" t="str">
        <f t="shared" si="32"/>
        <v/>
      </c>
      <c r="Q158" s="62" t="str">
        <f t="shared" si="27"/>
        <v/>
      </c>
      <c r="R158" s="59"/>
      <c r="S158" s="54"/>
      <c r="T158" s="60"/>
      <c r="U158" s="56">
        <f t="shared" si="28"/>
        <v>0</v>
      </c>
      <c r="V158" s="61" t="str">
        <f t="shared" si="33"/>
        <v/>
      </c>
      <c r="W158" s="62" t="str">
        <f t="shared" si="29"/>
        <v/>
      </c>
      <c r="X158" s="59"/>
      <c r="Y158" s="54"/>
      <c r="Z158" s="60"/>
      <c r="AA158" s="56">
        <f t="shared" si="30"/>
        <v>0</v>
      </c>
      <c r="AB158" s="61" t="str">
        <f t="shared" si="34"/>
        <v/>
      </c>
      <c r="AC158" s="62" t="str">
        <f t="shared" si="31"/>
        <v/>
      </c>
    </row>
    <row r="159" spans="1:29">
      <c r="B159" s="64" t="str">
        <f>[1]!ArticleCode('Detail Verwarm San Vent'!Art_65.30.)</f>
        <v>65.30.</v>
      </c>
      <c r="C159" s="65" t="str">
        <f>[1]!ArticleDescription('Detail Verwarm San Vent'!Art_65.30.)</f>
        <v>leidingnet &amp; toebehoren - algemeen</v>
      </c>
      <c r="D159" s="54"/>
      <c r="E159" s="54"/>
      <c r="F159" s="54"/>
      <c r="G159" s="54"/>
      <c r="H159" s="56"/>
      <c r="I159" s="56"/>
      <c r="J159" s="57"/>
      <c r="K159" s="58"/>
      <c r="L159" s="59"/>
      <c r="M159" s="54"/>
      <c r="N159" s="60"/>
      <c r="O159" s="56">
        <f t="shared" si="26"/>
        <v>0</v>
      </c>
      <c r="P159" s="61" t="str">
        <f t="shared" si="32"/>
        <v/>
      </c>
      <c r="Q159" s="62" t="str">
        <f t="shared" si="27"/>
        <v/>
      </c>
      <c r="R159" s="59"/>
      <c r="S159" s="54"/>
      <c r="T159" s="60"/>
      <c r="U159" s="56">
        <f t="shared" si="28"/>
        <v>0</v>
      </c>
      <c r="V159" s="61" t="str">
        <f t="shared" si="33"/>
        <v/>
      </c>
      <c r="W159" s="62" t="str">
        <f t="shared" si="29"/>
        <v/>
      </c>
      <c r="X159" s="59"/>
      <c r="Y159" s="54"/>
      <c r="Z159" s="60"/>
      <c r="AA159" s="56">
        <f t="shared" si="30"/>
        <v>0</v>
      </c>
      <c r="AB159" s="61" t="str">
        <f t="shared" si="34"/>
        <v/>
      </c>
      <c r="AC159" s="62" t="str">
        <f t="shared" si="31"/>
        <v/>
      </c>
    </row>
    <row r="160" spans="1:29">
      <c r="B160" s="64" t="str">
        <f>[1]!ArticleCode('Detail Verwarm San Vent'!Art_65.31.)</f>
        <v>65.31.</v>
      </c>
      <c r="C160" s="65" t="str">
        <f>[1]!ArticleDescription('Detail Verwarm San Vent'!Art_65.31.)</f>
        <v>leidingnet &amp; toebehoren - buizen/kunststof (enkel levering)</v>
      </c>
      <c r="D160" s="54"/>
      <c r="E160" s="54"/>
      <c r="F160" s="54"/>
      <c r="G160" s="54"/>
      <c r="H160" s="56"/>
      <c r="I160" s="56"/>
      <c r="J160" s="57"/>
      <c r="K160" s="58"/>
      <c r="L160" s="59"/>
      <c r="M160" s="54"/>
      <c r="N160" s="60"/>
      <c r="O160" s="56">
        <f t="shared" si="26"/>
        <v>0</v>
      </c>
      <c r="P160" s="61" t="str">
        <f t="shared" si="32"/>
        <v/>
      </c>
      <c r="Q160" s="62" t="str">
        <f t="shared" si="27"/>
        <v/>
      </c>
      <c r="R160" s="59"/>
      <c r="S160" s="54"/>
      <c r="T160" s="60"/>
      <c r="U160" s="56">
        <f t="shared" si="28"/>
        <v>0</v>
      </c>
      <c r="V160" s="61" t="str">
        <f t="shared" si="33"/>
        <v/>
      </c>
      <c r="W160" s="62" t="str">
        <f t="shared" si="29"/>
        <v/>
      </c>
      <c r="X160" s="59"/>
      <c r="Y160" s="54"/>
      <c r="Z160" s="60"/>
      <c r="AA160" s="56">
        <f t="shared" si="30"/>
        <v>0</v>
      </c>
      <c r="AB160" s="61" t="str">
        <f t="shared" si="34"/>
        <v/>
      </c>
      <c r="AC160" s="62" t="str">
        <f t="shared" si="31"/>
        <v/>
      </c>
    </row>
    <row r="161" spans="1:29">
      <c r="A161" s="63">
        <f>A158+1</f>
        <v>62</v>
      </c>
      <c r="B161" s="64" t="str">
        <f>[1]!ArticleCode('Detail Verwarm San Vent'!Art_65.31.30.)</f>
        <v>65.31.30.</v>
      </c>
      <c r="C161" s="65" t="str">
        <f>[1]!ArticleDescription('Detail Verwarm San Vent'!Art_65.31.30.)</f>
        <v>leidingnet &amp; toebehoren - buizen/kunststof radiatoren (enkel levering)</v>
      </c>
      <c r="D161" s="54" t="str">
        <f>[1]!ArticleMeasureType('Detail Verwarm San Vent'!Art_65.31.30.)</f>
        <v>FH</v>
      </c>
      <c r="E161" s="54" t="str">
        <f>[1]!ArticleMeasureUnit('Detail Verwarm San Vent'!Art_65.31.30.)</f>
        <v>m</v>
      </c>
      <c r="F161" s="73">
        <f>[1]!ArticleQuantity('Detail Verwarm San Vent'!Art_65.31.30.)</f>
        <v>558.32000000000005</v>
      </c>
      <c r="G161" s="54"/>
      <c r="H161" s="56"/>
      <c r="I161" s="56">
        <f>IF(RIGHT($D161,1)="-","************",ROUND(IF(NOT(ISNUMBER(G161)),IF(NOT(ISNUMBER(F161)),1,F161),G161)*H161,2))</f>
        <v>0</v>
      </c>
      <c r="J161" s="57"/>
      <c r="K161" s="58"/>
      <c r="L161" s="59"/>
      <c r="M161" s="54"/>
      <c r="N161" s="60"/>
      <c r="O161" s="56">
        <f t="shared" si="26"/>
        <v>0</v>
      </c>
      <c r="P161" s="61" t="str">
        <f t="shared" si="32"/>
        <v/>
      </c>
      <c r="Q161" s="62" t="str">
        <f t="shared" si="27"/>
        <v/>
      </c>
      <c r="R161" s="59"/>
      <c r="S161" s="54"/>
      <c r="T161" s="60"/>
      <c r="U161" s="56">
        <f t="shared" si="28"/>
        <v>0</v>
      </c>
      <c r="V161" s="61" t="str">
        <f t="shared" si="33"/>
        <v/>
      </c>
      <c r="W161" s="62" t="str">
        <f t="shared" si="29"/>
        <v/>
      </c>
      <c r="X161" s="59"/>
      <c r="Y161" s="54"/>
      <c r="Z161" s="60"/>
      <c r="AA161" s="56">
        <f t="shared" si="30"/>
        <v>0</v>
      </c>
      <c r="AB161" s="61" t="str">
        <f t="shared" si="34"/>
        <v/>
      </c>
      <c r="AC161" s="62" t="str">
        <f t="shared" si="31"/>
        <v/>
      </c>
    </row>
    <row r="162" spans="1:29">
      <c r="A162" s="63">
        <f>A161+1</f>
        <v>63</v>
      </c>
      <c r="B162" s="64" t="str">
        <f>[1]!ArticleCode('Detail Verwarm San Vent'!Art_65.32.)</f>
        <v>65.32.</v>
      </c>
      <c r="C162" s="65" t="str">
        <f>[1]!ArticleDescription('Detail Verwarm San Vent'!Art_65.32.)</f>
        <v xml:space="preserve">leidingnet &amp; toebehoren - collectoren </v>
      </c>
      <c r="D162" s="54" t="str">
        <f>[1]!ArticleMeasureType('Detail Verwarm San Vent'!Art_65.32.)</f>
        <v>FH</v>
      </c>
      <c r="E162" s="54" t="str">
        <f>[1]!ArticleMeasureUnit('Detail Verwarm San Vent'!Art_65.32.)</f>
        <v>st</v>
      </c>
      <c r="F162" s="72">
        <f>[1]!ArticleQuantity('Detail Verwarm San Vent'!Art_65.32.)</f>
        <v>4</v>
      </c>
      <c r="G162" s="54"/>
      <c r="H162" s="56"/>
      <c r="I162" s="56">
        <f>IF(RIGHT($D162,1)="-","************",ROUND(IF(NOT(ISNUMBER(G162)),IF(NOT(ISNUMBER(F162)),1,F162),G162)*H162,2))</f>
        <v>0</v>
      </c>
      <c r="J162" s="57"/>
      <c r="K162" s="58"/>
      <c r="L162" s="59"/>
      <c r="M162" s="54"/>
      <c r="N162" s="60"/>
      <c r="O162" s="56">
        <f t="shared" si="26"/>
        <v>0</v>
      </c>
      <c r="P162" s="61" t="str">
        <f t="shared" si="32"/>
        <v/>
      </c>
      <c r="Q162" s="62" t="str">
        <f t="shared" si="27"/>
        <v/>
      </c>
      <c r="R162" s="59"/>
      <c r="S162" s="54"/>
      <c r="T162" s="60"/>
      <c r="U162" s="56">
        <f t="shared" si="28"/>
        <v>0</v>
      </c>
      <c r="V162" s="61" t="str">
        <f t="shared" si="33"/>
        <v/>
      </c>
      <c r="W162" s="62" t="str">
        <f t="shared" si="29"/>
        <v/>
      </c>
      <c r="X162" s="59"/>
      <c r="Y162" s="54"/>
      <c r="Z162" s="60"/>
      <c r="AA162" s="56">
        <f t="shared" si="30"/>
        <v>0</v>
      </c>
      <c r="AB162" s="61" t="str">
        <f t="shared" si="34"/>
        <v/>
      </c>
      <c r="AC162" s="62" t="str">
        <f t="shared" si="31"/>
        <v/>
      </c>
    </row>
    <row r="163" spans="1:29">
      <c r="A163" s="63">
        <f>A162+1</f>
        <v>64</v>
      </c>
      <c r="B163" s="64" t="str">
        <f>[1]!ArticleCode('Detail Verwarm San Vent'!Art_65.33.)</f>
        <v>65.33.</v>
      </c>
      <c r="C163" s="65" t="str">
        <f>[1]!ArticleDescription('Detail Verwarm San Vent'!Art_65.33.)</f>
        <v>leidingnet &amp; toebehoren - leidingisolatie prefab meerprijs (enkel levering)</v>
      </c>
      <c r="D163" s="54" t="str">
        <f>[1]!ArticleMeasureType('Detail Verwarm San Vent'!Art_65.33.)</f>
        <v>FH</v>
      </c>
      <c r="E163" s="54" t="str">
        <f>[1]!ArticleMeasureUnit('Detail Verwarm San Vent'!Art_65.33.)</f>
        <v>m</v>
      </c>
      <c r="F163" s="73">
        <f>[1]!ArticleQuantity('Detail Verwarm San Vent'!Art_65.33.)</f>
        <v>558.32000000000005</v>
      </c>
      <c r="G163" s="54"/>
      <c r="H163" s="56"/>
      <c r="I163" s="56">
        <f>IF(RIGHT($D163,1)="-","************",ROUND(IF(NOT(ISNUMBER(G163)),IF(NOT(ISNUMBER(F163)),1,F163),G163)*H163,2))</f>
        <v>0</v>
      </c>
      <c r="J163" s="57"/>
      <c r="K163" s="58"/>
      <c r="L163" s="59"/>
      <c r="M163" s="54"/>
      <c r="N163" s="60"/>
      <c r="O163" s="56">
        <f t="shared" si="26"/>
        <v>0</v>
      </c>
      <c r="P163" s="61" t="str">
        <f t="shared" si="32"/>
        <v/>
      </c>
      <c r="Q163" s="62" t="str">
        <f t="shared" si="27"/>
        <v/>
      </c>
      <c r="R163" s="59"/>
      <c r="S163" s="54"/>
      <c r="T163" s="60"/>
      <c r="U163" s="56">
        <f t="shared" si="28"/>
        <v>0</v>
      </c>
      <c r="V163" s="61" t="str">
        <f t="shared" si="33"/>
        <v/>
      </c>
      <c r="W163" s="62" t="str">
        <f t="shared" si="29"/>
        <v/>
      </c>
      <c r="X163" s="59"/>
      <c r="Y163" s="54"/>
      <c r="Z163" s="60"/>
      <c r="AA163" s="56">
        <f t="shared" si="30"/>
        <v>0</v>
      </c>
      <c r="AB163" s="61" t="str">
        <f t="shared" si="34"/>
        <v/>
      </c>
      <c r="AC163" s="62" t="str">
        <f t="shared" si="31"/>
        <v/>
      </c>
    </row>
    <row r="164" spans="1:29">
      <c r="A164" s="63">
        <f>A163+1</f>
        <v>65</v>
      </c>
      <c r="B164" s="64" t="str">
        <f>[1]!ArticleCode('Detail Verwarm San Vent'!Art_65.34.)</f>
        <v>65.34.</v>
      </c>
      <c r="C164" s="65" t="str">
        <f>[1]!ArticleDescription('Detail Verwarm San Vent'!Art_65.34.)</f>
        <v xml:space="preserve">leidingnet &amp; toebehoren - brandwerende doorvoeren </v>
      </c>
      <c r="D164" s="54" t="str">
        <f>[1]!ArticleMeasureType('Detail Verwarm San Vent'!Art_65.34.)</f>
        <v/>
      </c>
      <c r="E164" s="54" t="str">
        <f>[1]!ArticleMeasureUnit('Detail Verwarm San Vent'!Art_65.34.)</f>
        <v>PM</v>
      </c>
      <c r="F164" s="72" t="str">
        <f>[1]!ArticleQuantity('Detail Verwarm San Vent'!Art_65.34.)</f>
        <v/>
      </c>
      <c r="G164" s="54"/>
      <c r="H164" s="56"/>
      <c r="I164" s="56">
        <f>IF(RIGHT($D164,1)="-","************",ROUND(IF(NOT(ISNUMBER(G164)),IF(NOT(ISNUMBER(F164)),1,F164),G164)*H164,2))</f>
        <v>0</v>
      </c>
      <c r="J164" s="57"/>
      <c r="K164" s="58"/>
      <c r="L164" s="59"/>
      <c r="M164" s="54"/>
      <c r="N164" s="60"/>
      <c r="O164" s="56">
        <f t="shared" si="26"/>
        <v>0</v>
      </c>
      <c r="P164" s="61" t="str">
        <f t="shared" si="32"/>
        <v/>
      </c>
      <c r="Q164" s="62" t="str">
        <f t="shared" si="27"/>
        <v/>
      </c>
      <c r="R164" s="59"/>
      <c r="S164" s="54"/>
      <c r="T164" s="60"/>
      <c r="U164" s="56">
        <f t="shared" si="28"/>
        <v>0</v>
      </c>
      <c r="V164" s="61" t="str">
        <f t="shared" si="33"/>
        <v/>
      </c>
      <c r="W164" s="62" t="str">
        <f t="shared" si="29"/>
        <v/>
      </c>
      <c r="X164" s="59"/>
      <c r="Y164" s="54"/>
      <c r="Z164" s="60"/>
      <c r="AA164" s="56">
        <f t="shared" si="30"/>
        <v>0</v>
      </c>
      <c r="AB164" s="61" t="str">
        <f t="shared" si="34"/>
        <v/>
      </c>
      <c r="AC164" s="62" t="str">
        <f t="shared" si="31"/>
        <v/>
      </c>
    </row>
    <row r="165" spans="1:29">
      <c r="B165" s="64" t="str">
        <f>[1]!ArticleCode('Detail Verwarm San Vent'!Art_65.40.)</f>
        <v>65.40.</v>
      </c>
      <c r="C165" s="65" t="str">
        <f>[1]!ArticleDescription('Detail Verwarm San Vent'!Art_65.40.)</f>
        <v>installatieonderdelen - algemeen</v>
      </c>
      <c r="D165" s="54"/>
      <c r="E165" s="54"/>
      <c r="F165" s="54"/>
      <c r="G165" s="54"/>
      <c r="H165" s="56"/>
      <c r="I165" s="56"/>
      <c r="J165" s="57"/>
      <c r="K165" s="58"/>
      <c r="L165" s="59"/>
      <c r="M165" s="54"/>
      <c r="N165" s="60"/>
      <c r="O165" s="56">
        <f t="shared" si="26"/>
        <v>0</v>
      </c>
      <c r="P165" s="61" t="str">
        <f t="shared" si="32"/>
        <v/>
      </c>
      <c r="Q165" s="62" t="str">
        <f t="shared" si="27"/>
        <v/>
      </c>
      <c r="R165" s="59"/>
      <c r="S165" s="54"/>
      <c r="T165" s="60"/>
      <c r="U165" s="56">
        <f t="shared" si="28"/>
        <v>0</v>
      </c>
      <c r="V165" s="61" t="str">
        <f t="shared" si="33"/>
        <v/>
      </c>
      <c r="W165" s="62" t="str">
        <f t="shared" si="29"/>
        <v/>
      </c>
      <c r="X165" s="59"/>
      <c r="Y165" s="54"/>
      <c r="Z165" s="60"/>
      <c r="AA165" s="56">
        <f t="shared" si="30"/>
        <v>0</v>
      </c>
      <c r="AB165" s="61" t="str">
        <f t="shared" si="34"/>
        <v/>
      </c>
      <c r="AC165" s="62" t="str">
        <f t="shared" si="31"/>
        <v/>
      </c>
    </row>
    <row r="166" spans="1:29">
      <c r="A166" s="63">
        <f>A164+1</f>
        <v>66</v>
      </c>
      <c r="B166" s="64" t="str">
        <f>[1]!ArticleCode('Detail Verwarm San Vent'!Art_65.41.)</f>
        <v>65.41.</v>
      </c>
      <c r="C166" s="65" t="str">
        <f>[1]!ArticleDescription('Detail Verwarm San Vent'!Art_65.41.)</f>
        <v xml:space="preserve">installatieonderdelen - aflaatkranen </v>
      </c>
      <c r="D166" s="54" t="str">
        <f>[1]!ArticleMeasureType('Detail Verwarm San Vent'!Art_65.41.)</f>
        <v>FH</v>
      </c>
      <c r="E166" s="54" t="str">
        <f>[1]!ArticleMeasureUnit('Detail Verwarm San Vent'!Art_65.41.)</f>
        <v>st</v>
      </c>
      <c r="F166" s="72">
        <f>[1]!ArticleQuantity('Detail Verwarm San Vent'!Art_65.41.)</f>
        <v>20</v>
      </c>
      <c r="G166" s="54"/>
      <c r="H166" s="56"/>
      <c r="I166" s="56">
        <f t="shared" ref="I166:I172" si="35">IF(RIGHT($D166,1)="-","************",ROUND(IF(NOT(ISNUMBER(G166)),IF(NOT(ISNUMBER(F166)),1,F166),G166)*H166,2))</f>
        <v>0</v>
      </c>
      <c r="J166" s="57"/>
      <c r="K166" s="58"/>
      <c r="L166" s="59"/>
      <c r="M166" s="54"/>
      <c r="N166" s="60"/>
      <c r="O166" s="56">
        <f t="shared" si="26"/>
        <v>0</v>
      </c>
      <c r="P166" s="61" t="str">
        <f t="shared" si="32"/>
        <v/>
      </c>
      <c r="Q166" s="62" t="str">
        <f t="shared" si="27"/>
        <v/>
      </c>
      <c r="R166" s="59"/>
      <c r="S166" s="54"/>
      <c r="T166" s="60"/>
      <c r="U166" s="56">
        <f t="shared" si="28"/>
        <v>0</v>
      </c>
      <c r="V166" s="61" t="str">
        <f t="shared" si="33"/>
        <v/>
      </c>
      <c r="W166" s="62" t="str">
        <f t="shared" si="29"/>
        <v/>
      </c>
      <c r="X166" s="59"/>
      <c r="Y166" s="54"/>
      <c r="Z166" s="60"/>
      <c r="AA166" s="56">
        <f t="shared" si="30"/>
        <v>0</v>
      </c>
      <c r="AB166" s="61" t="str">
        <f t="shared" si="34"/>
        <v/>
      </c>
      <c r="AC166" s="62" t="str">
        <f t="shared" si="31"/>
        <v/>
      </c>
    </row>
    <row r="167" spans="1:29">
      <c r="A167" s="63">
        <f t="shared" ref="A167:A172" si="36">A166+1</f>
        <v>67</v>
      </c>
      <c r="B167" s="64" t="str">
        <f>[1]!ArticleCode('Detail Verwarm San Vent'!Art_65.42.)</f>
        <v>65.42.</v>
      </c>
      <c r="C167" s="65" t="str">
        <f>[1]!ArticleDescription('Detail Verwarm San Vent'!Art_65.42.)</f>
        <v xml:space="preserve">installatieonderdelen – regel- en afsluitkranen </v>
      </c>
      <c r="D167" s="54" t="str">
        <f>[1]!ArticleMeasureType('Detail Verwarm San Vent'!Art_65.42.)</f>
        <v>FH</v>
      </c>
      <c r="E167" s="54" t="str">
        <f>[1]!ArticleMeasureUnit('Detail Verwarm San Vent'!Art_65.42.)</f>
        <v>st</v>
      </c>
      <c r="F167" s="72">
        <f>[1]!ArticleQuantity('Detail Verwarm San Vent'!Art_65.42.)</f>
        <v>5</v>
      </c>
      <c r="G167" s="54"/>
      <c r="H167" s="56"/>
      <c r="I167" s="56">
        <f t="shared" si="35"/>
        <v>0</v>
      </c>
      <c r="J167" s="57"/>
      <c r="K167" s="58"/>
      <c r="L167" s="59"/>
      <c r="M167" s="54"/>
      <c r="N167" s="60"/>
      <c r="O167" s="56">
        <f t="shared" si="26"/>
        <v>0</v>
      </c>
      <c r="P167" s="61" t="str">
        <f t="shared" si="32"/>
        <v/>
      </c>
      <c r="Q167" s="62" t="str">
        <f t="shared" si="27"/>
        <v/>
      </c>
      <c r="R167" s="59"/>
      <c r="S167" s="54"/>
      <c r="T167" s="60"/>
      <c r="U167" s="56">
        <f t="shared" si="28"/>
        <v>0</v>
      </c>
      <c r="V167" s="61" t="str">
        <f t="shared" si="33"/>
        <v/>
      </c>
      <c r="W167" s="62" t="str">
        <f t="shared" si="29"/>
        <v/>
      </c>
      <c r="X167" s="59"/>
      <c r="Y167" s="54"/>
      <c r="Z167" s="60"/>
      <c r="AA167" s="56">
        <f t="shared" si="30"/>
        <v>0</v>
      </c>
      <c r="AB167" s="61" t="str">
        <f t="shared" si="34"/>
        <v/>
      </c>
      <c r="AC167" s="62" t="str">
        <f t="shared" si="31"/>
        <v/>
      </c>
    </row>
    <row r="168" spans="1:29">
      <c r="A168" s="63">
        <f t="shared" si="36"/>
        <v>68</v>
      </c>
      <c r="B168" s="64" t="str">
        <f>[1]!ArticleCode('Detail Verwarm San Vent'!Art_65.43.)</f>
        <v>65.43.</v>
      </c>
      <c r="C168" s="65" t="str">
        <f>[1]!ArticleDescription('Detail Verwarm San Vent'!Art_65.43.)</f>
        <v xml:space="preserve">installatieonderdelen - drukregelaars </v>
      </c>
      <c r="D168" s="54" t="str">
        <f>[1]!ArticleMeasureType('Detail Verwarm San Vent'!Art_65.43.)</f>
        <v>FH</v>
      </c>
      <c r="E168" s="54" t="str">
        <f>[1]!ArticleMeasureUnit('Detail Verwarm San Vent'!Art_65.43.)</f>
        <v>st</v>
      </c>
      <c r="F168" s="72">
        <f>[1]!ArticleQuantity('Detail Verwarm San Vent'!Art_65.43.)</f>
        <v>1</v>
      </c>
      <c r="G168" s="54"/>
      <c r="H168" s="56"/>
      <c r="I168" s="56">
        <f t="shared" si="35"/>
        <v>0</v>
      </c>
      <c r="J168" s="57"/>
      <c r="K168" s="58"/>
      <c r="L168" s="59"/>
      <c r="M168" s="54"/>
      <c r="N168" s="60"/>
      <c r="O168" s="56">
        <f t="shared" si="26"/>
        <v>0</v>
      </c>
      <c r="P168" s="61" t="str">
        <f t="shared" ref="P168:P195" si="37">IF(O$228=0,"",O168/O$228)</f>
        <v/>
      </c>
      <c r="Q168" s="62" t="str">
        <f t="shared" si="27"/>
        <v/>
      </c>
      <c r="R168" s="59"/>
      <c r="S168" s="54"/>
      <c r="T168" s="60"/>
      <c r="U168" s="56">
        <f t="shared" si="28"/>
        <v>0</v>
      </c>
      <c r="V168" s="61" t="str">
        <f t="shared" ref="V168:V195" si="38">IF(U$228=0,"",U168/U$228)</f>
        <v/>
      </c>
      <c r="W168" s="62" t="str">
        <f t="shared" si="29"/>
        <v/>
      </c>
      <c r="X168" s="59"/>
      <c r="Y168" s="54"/>
      <c r="Z168" s="60"/>
      <c r="AA168" s="56">
        <f t="shared" si="30"/>
        <v>0</v>
      </c>
      <c r="AB168" s="61" t="str">
        <f t="shared" ref="AB168:AB195" si="39">IF(AA$228=0,"",AA168/AA$228)</f>
        <v/>
      </c>
      <c r="AC168" s="62" t="str">
        <f t="shared" si="31"/>
        <v/>
      </c>
    </row>
    <row r="169" spans="1:29">
      <c r="A169" s="63">
        <f t="shared" si="36"/>
        <v>69</v>
      </c>
      <c r="B169" s="64" t="str">
        <f>[1]!ArticleCode('Detail Verwarm San Vent'!Art_65.44.)</f>
        <v>65.44.</v>
      </c>
      <c r="C169" s="65" t="str">
        <f>[1]!ArticleDescription('Detail Verwarm San Vent'!Art_65.44.)</f>
        <v xml:space="preserve">installatieonderdelen - circulatoren </v>
      </c>
      <c r="D169" s="54" t="str">
        <f>[1]!ArticleMeasureType('Detail Verwarm San Vent'!Art_65.44.)</f>
        <v>FH</v>
      </c>
      <c r="E169" s="54" t="str">
        <f>[1]!ArticleMeasureUnit('Detail Verwarm San Vent'!Art_65.44.)</f>
        <v>st</v>
      </c>
      <c r="F169" s="72">
        <f>[1]!ArticleQuantity('Detail Verwarm San Vent'!Art_65.44.)</f>
        <v>1</v>
      </c>
      <c r="G169" s="54"/>
      <c r="H169" s="56"/>
      <c r="I169" s="56">
        <f t="shared" si="35"/>
        <v>0</v>
      </c>
      <c r="J169" s="57"/>
      <c r="K169" s="58"/>
      <c r="L169" s="59"/>
      <c r="M169" s="54"/>
      <c r="N169" s="60"/>
      <c r="O169" s="56">
        <f t="shared" si="26"/>
        <v>0</v>
      </c>
      <c r="P169" s="61" t="str">
        <f t="shared" si="37"/>
        <v/>
      </c>
      <c r="Q169" s="62" t="str">
        <f t="shared" si="27"/>
        <v/>
      </c>
      <c r="R169" s="59"/>
      <c r="S169" s="54"/>
      <c r="T169" s="60"/>
      <c r="U169" s="56">
        <f t="shared" si="28"/>
        <v>0</v>
      </c>
      <c r="V169" s="61" t="str">
        <f t="shared" si="38"/>
        <v/>
      </c>
      <c r="W169" s="62" t="str">
        <f t="shared" si="29"/>
        <v/>
      </c>
      <c r="X169" s="59"/>
      <c r="Y169" s="54"/>
      <c r="Z169" s="60"/>
      <c r="AA169" s="56">
        <f t="shared" si="30"/>
        <v>0</v>
      </c>
      <c r="AB169" s="61" t="str">
        <f t="shared" si="39"/>
        <v/>
      </c>
      <c r="AC169" s="62" t="str">
        <f t="shared" si="31"/>
        <v/>
      </c>
    </row>
    <row r="170" spans="1:29">
      <c r="A170" s="63">
        <f t="shared" si="36"/>
        <v>70</v>
      </c>
      <c r="B170" s="64" t="str">
        <f>[1]!ArticleCode('Detail Verwarm San Vent'!Art_65.45.)</f>
        <v>65.45.</v>
      </c>
      <c r="C170" s="65" t="str">
        <f>[1]!ArticleDescription('Detail Verwarm San Vent'!Art_65.45.)</f>
        <v xml:space="preserve">installatieonderdelen - expansiesysteem </v>
      </c>
      <c r="D170" s="54" t="str">
        <f>[1]!ArticleMeasureType('Detail Verwarm San Vent'!Art_65.45.)</f>
        <v>FH</v>
      </c>
      <c r="E170" s="54" t="str">
        <f>[1]!ArticleMeasureUnit('Detail Verwarm San Vent'!Art_65.45.)</f>
        <v>st</v>
      </c>
      <c r="F170" s="72">
        <f>[1]!ArticleQuantity('Detail Verwarm San Vent'!Art_65.45.)</f>
        <v>1</v>
      </c>
      <c r="G170" s="54"/>
      <c r="H170" s="56"/>
      <c r="I170" s="56">
        <f t="shared" si="35"/>
        <v>0</v>
      </c>
      <c r="J170" s="57"/>
      <c r="K170" s="58"/>
      <c r="L170" s="59"/>
      <c r="M170" s="54"/>
      <c r="N170" s="60"/>
      <c r="O170" s="56">
        <f t="shared" si="26"/>
        <v>0</v>
      </c>
      <c r="P170" s="61" t="str">
        <f t="shared" si="37"/>
        <v/>
      </c>
      <c r="Q170" s="62" t="str">
        <f t="shared" si="27"/>
        <v/>
      </c>
      <c r="R170" s="59"/>
      <c r="S170" s="54"/>
      <c r="T170" s="60"/>
      <c r="U170" s="56">
        <f t="shared" si="28"/>
        <v>0</v>
      </c>
      <c r="V170" s="61" t="str">
        <f t="shared" si="38"/>
        <v/>
      </c>
      <c r="W170" s="62" t="str">
        <f t="shared" si="29"/>
        <v/>
      </c>
      <c r="X170" s="59"/>
      <c r="Y170" s="54"/>
      <c r="Z170" s="60"/>
      <c r="AA170" s="56">
        <f t="shared" si="30"/>
        <v>0</v>
      </c>
      <c r="AB170" s="61" t="str">
        <f t="shared" si="39"/>
        <v/>
      </c>
      <c r="AC170" s="62" t="str">
        <f t="shared" si="31"/>
        <v/>
      </c>
    </row>
    <row r="171" spans="1:29">
      <c r="A171" s="63">
        <f t="shared" si="36"/>
        <v>71</v>
      </c>
      <c r="B171" s="64" t="str">
        <f>[1]!ArticleCode('Detail Verwarm San Vent'!Art_65.46.)</f>
        <v>65.46.</v>
      </c>
      <c r="C171" s="65" t="str">
        <f>[1]!ArticleDescription('Detail Verwarm San Vent'!Art_65.46.)</f>
        <v xml:space="preserve">installatieonderdelen - vlotterontluchters </v>
      </c>
      <c r="D171" s="54" t="str">
        <f>[1]!ArticleMeasureType('Detail Verwarm San Vent'!Art_65.46.)</f>
        <v>FH</v>
      </c>
      <c r="E171" s="54" t="str">
        <f>[1]!ArticleMeasureUnit('Detail Verwarm San Vent'!Art_65.46.)</f>
        <v>st</v>
      </c>
      <c r="F171" s="72">
        <f>[1]!ArticleQuantity('Detail Verwarm San Vent'!Art_65.46.)</f>
        <v>1</v>
      </c>
      <c r="G171" s="54"/>
      <c r="H171" s="56"/>
      <c r="I171" s="56">
        <f t="shared" si="35"/>
        <v>0</v>
      </c>
      <c r="J171" s="57"/>
      <c r="K171" s="58"/>
      <c r="L171" s="59"/>
      <c r="M171" s="54"/>
      <c r="N171" s="60"/>
      <c r="O171" s="56">
        <f t="shared" si="26"/>
        <v>0</v>
      </c>
      <c r="P171" s="61" t="str">
        <f t="shared" si="37"/>
        <v/>
      </c>
      <c r="Q171" s="62" t="str">
        <f t="shared" si="27"/>
        <v/>
      </c>
      <c r="R171" s="59"/>
      <c r="S171" s="54"/>
      <c r="T171" s="60"/>
      <c r="U171" s="56">
        <f t="shared" si="28"/>
        <v>0</v>
      </c>
      <c r="V171" s="61" t="str">
        <f t="shared" si="38"/>
        <v/>
      </c>
      <c r="W171" s="62" t="str">
        <f t="shared" si="29"/>
        <v/>
      </c>
      <c r="X171" s="59"/>
      <c r="Y171" s="54"/>
      <c r="Z171" s="60"/>
      <c r="AA171" s="56">
        <f t="shared" si="30"/>
        <v>0</v>
      </c>
      <c r="AB171" s="61" t="str">
        <f t="shared" si="39"/>
        <v/>
      </c>
      <c r="AC171" s="62" t="str">
        <f t="shared" si="31"/>
        <v/>
      </c>
    </row>
    <row r="172" spans="1:29">
      <c r="A172" s="63">
        <f t="shared" si="36"/>
        <v>72</v>
      </c>
      <c r="B172" s="64" t="str">
        <f>[1]!ArticleCode('Detail Verwarm San Vent'!Art_65.47.)</f>
        <v>65.47.</v>
      </c>
      <c r="C172" s="65" t="str">
        <f>[1]!ArticleDescription('Detail Verwarm San Vent'!Art_65.47.)</f>
        <v xml:space="preserve">installatieonderdelen - microbellenafscheider </v>
      </c>
      <c r="D172" s="54" t="str">
        <f>[1]!ArticleMeasureType('Detail Verwarm San Vent'!Art_65.47.)</f>
        <v>FH</v>
      </c>
      <c r="E172" s="54" t="str">
        <f>[1]!ArticleMeasureUnit('Detail Verwarm San Vent'!Art_65.47.)</f>
        <v>st</v>
      </c>
      <c r="F172" s="72">
        <f>[1]!ArticleQuantity('Detail Verwarm San Vent'!Art_65.47.)</f>
        <v>1</v>
      </c>
      <c r="G172" s="54"/>
      <c r="H172" s="56"/>
      <c r="I172" s="56">
        <f t="shared" si="35"/>
        <v>0</v>
      </c>
      <c r="J172" s="57"/>
      <c r="K172" s="58"/>
      <c r="L172" s="59"/>
      <c r="M172" s="54"/>
      <c r="N172" s="60"/>
      <c r="O172" s="56">
        <f t="shared" si="26"/>
        <v>0</v>
      </c>
      <c r="P172" s="61" t="str">
        <f t="shared" si="37"/>
        <v/>
      </c>
      <c r="Q172" s="62" t="str">
        <f t="shared" si="27"/>
        <v/>
      </c>
      <c r="R172" s="59"/>
      <c r="S172" s="54"/>
      <c r="T172" s="60"/>
      <c r="U172" s="56">
        <f t="shared" si="28"/>
        <v>0</v>
      </c>
      <c r="V172" s="61" t="str">
        <f t="shared" si="38"/>
        <v/>
      </c>
      <c r="W172" s="62" t="str">
        <f t="shared" si="29"/>
        <v/>
      </c>
      <c r="X172" s="59"/>
      <c r="Y172" s="54"/>
      <c r="Z172" s="60"/>
      <c r="AA172" s="56">
        <f t="shared" si="30"/>
        <v>0</v>
      </c>
      <c r="AB172" s="61" t="str">
        <f t="shared" si="39"/>
        <v/>
      </c>
      <c r="AC172" s="62" t="str">
        <f t="shared" si="31"/>
        <v/>
      </c>
    </row>
    <row r="173" spans="1:29">
      <c r="B173" s="64" t="str">
        <f>[1]!ArticleCode('Detail Verwarm San Vent'!Art_65.50.)</f>
        <v>65.50.</v>
      </c>
      <c r="C173" s="65" t="str">
        <f>[1]!ArticleDescription('Detail Verwarm San Vent'!Art_65.50.)</f>
        <v>verwarmingselementen &amp; toebehoren - algemeen</v>
      </c>
      <c r="D173" s="54"/>
      <c r="E173" s="54"/>
      <c r="F173" s="54"/>
      <c r="G173" s="54"/>
      <c r="H173" s="56"/>
      <c r="I173" s="56"/>
      <c r="J173" s="57"/>
      <c r="K173" s="58"/>
      <c r="L173" s="59"/>
      <c r="M173" s="54"/>
      <c r="N173" s="60"/>
      <c r="O173" s="56">
        <f t="shared" si="26"/>
        <v>0</v>
      </c>
      <c r="P173" s="61" t="str">
        <f t="shared" si="37"/>
        <v/>
      </c>
      <c r="Q173" s="62" t="str">
        <f t="shared" si="27"/>
        <v/>
      </c>
      <c r="R173" s="59"/>
      <c r="S173" s="54"/>
      <c r="T173" s="60"/>
      <c r="U173" s="56">
        <f t="shared" si="28"/>
        <v>0</v>
      </c>
      <c r="V173" s="61" t="str">
        <f t="shared" si="38"/>
        <v/>
      </c>
      <c r="W173" s="62" t="str">
        <f t="shared" si="29"/>
        <v/>
      </c>
      <c r="X173" s="59"/>
      <c r="Y173" s="54"/>
      <c r="Z173" s="60"/>
      <c r="AA173" s="56">
        <f t="shared" si="30"/>
        <v>0</v>
      </c>
      <c r="AB173" s="61" t="str">
        <f t="shared" si="39"/>
        <v/>
      </c>
      <c r="AC173" s="62" t="str">
        <f t="shared" si="31"/>
        <v/>
      </c>
    </row>
    <row r="174" spans="1:29">
      <c r="B174" s="64" t="str">
        <f>[1]!ArticleCode('Detail Verwarm San Vent'!Art_65.52.)</f>
        <v>65.52.</v>
      </c>
      <c r="C174" s="65" t="str">
        <f>[1]!ArticleDescription('Detail Verwarm San Vent'!Art_65.52.)</f>
        <v>verwarmingselementen &amp; toebehoren - wandconvectoren</v>
      </c>
      <c r="D174" s="54"/>
      <c r="E174" s="54"/>
      <c r="F174" s="54"/>
      <c r="G174" s="54"/>
      <c r="H174" s="56"/>
      <c r="I174" s="56"/>
      <c r="J174" s="57"/>
      <c r="K174" s="58"/>
      <c r="L174" s="59"/>
      <c r="M174" s="54"/>
      <c r="N174" s="60"/>
      <c r="O174" s="56">
        <f t="shared" si="26"/>
        <v>0</v>
      </c>
      <c r="P174" s="61" t="str">
        <f t="shared" si="37"/>
        <v/>
      </c>
      <c r="Q174" s="62" t="str">
        <f t="shared" si="27"/>
        <v/>
      </c>
      <c r="R174" s="59"/>
      <c r="S174" s="54"/>
      <c r="T174" s="60"/>
      <c r="U174" s="56">
        <f t="shared" si="28"/>
        <v>0</v>
      </c>
      <c r="V174" s="61" t="str">
        <f t="shared" si="38"/>
        <v/>
      </c>
      <c r="W174" s="62" t="str">
        <f t="shared" si="29"/>
        <v/>
      </c>
      <c r="X174" s="59"/>
      <c r="Y174" s="54"/>
      <c r="Z174" s="60"/>
      <c r="AA174" s="56">
        <f t="shared" si="30"/>
        <v>0</v>
      </c>
      <c r="AB174" s="61" t="str">
        <f t="shared" si="39"/>
        <v/>
      </c>
      <c r="AC174" s="62" t="str">
        <f t="shared" si="31"/>
        <v/>
      </c>
    </row>
    <row r="175" spans="1:29">
      <c r="A175" s="63">
        <f>A172+1</f>
        <v>73</v>
      </c>
      <c r="B175" s="64" t="str">
        <f>[1]!ArticleCode('Detail Verwarm San Vent'!Art_65.52.01.)</f>
        <v>65.52.01.</v>
      </c>
      <c r="C175" s="65" t="str">
        <f>[1]!ArticleDescription('Detail Verwarm San Vent'!Art_65.52.01.)</f>
        <v>Recuperatie radiator</v>
      </c>
      <c r="D175" s="54" t="str">
        <f>[1]!ArticleMeasureType('Detail Verwarm San Vent'!Art_65.52.01.)</f>
        <v>FH</v>
      </c>
      <c r="E175" s="54" t="str">
        <f>[1]!ArticleMeasureUnit('Detail Verwarm San Vent'!Art_65.52.01.)</f>
        <v>st</v>
      </c>
      <c r="F175" s="72">
        <f>[1]!ArticleQuantity('Detail Verwarm San Vent'!Art_65.52.01.)</f>
        <v>15</v>
      </c>
      <c r="G175" s="54"/>
      <c r="H175" s="56"/>
      <c r="I175" s="56">
        <f>IF(RIGHT($D175,1)="-","************",ROUND(IF(NOT(ISNUMBER(G175)),IF(NOT(ISNUMBER(F175)),1,F175),G175)*H175,2))</f>
        <v>0</v>
      </c>
      <c r="J175" s="57"/>
      <c r="K175" s="58"/>
      <c r="L175" s="59"/>
      <c r="M175" s="54"/>
      <c r="N175" s="60"/>
      <c r="O175" s="56">
        <f t="shared" si="26"/>
        <v>0</v>
      </c>
      <c r="P175" s="61" t="str">
        <f t="shared" si="37"/>
        <v/>
      </c>
      <c r="Q175" s="62" t="str">
        <f t="shared" si="27"/>
        <v/>
      </c>
      <c r="R175" s="59"/>
      <c r="S175" s="54"/>
      <c r="T175" s="60"/>
      <c r="U175" s="56">
        <f t="shared" si="28"/>
        <v>0</v>
      </c>
      <c r="V175" s="61" t="str">
        <f t="shared" si="38"/>
        <v/>
      </c>
      <c r="W175" s="62" t="str">
        <f t="shared" si="29"/>
        <v/>
      </c>
      <c r="X175" s="59"/>
      <c r="Y175" s="54"/>
      <c r="Z175" s="60"/>
      <c r="AA175" s="56">
        <f t="shared" si="30"/>
        <v>0</v>
      </c>
      <c r="AB175" s="61" t="str">
        <f t="shared" si="39"/>
        <v/>
      </c>
      <c r="AC175" s="62" t="str">
        <f t="shared" si="31"/>
        <v/>
      </c>
    </row>
    <row r="176" spans="1:29">
      <c r="A176" s="63">
        <f>A175+1</f>
        <v>74</v>
      </c>
      <c r="B176" s="64" t="str">
        <f>[1]!ArticleCode('Detail Verwarm San Vent'!Art_65.52.02.)</f>
        <v>65.52.02.</v>
      </c>
      <c r="C176" s="65" t="str">
        <f>[1]!ArticleDescription('Detail Verwarm San Vent'!Art_65.52.02.)</f>
        <v>Nieuwe radiator</v>
      </c>
      <c r="D176" s="54" t="str">
        <f>[1]!ArticleMeasureType('Detail Verwarm San Vent'!Art_65.52.02.)</f>
        <v>EP-</v>
      </c>
      <c r="E176" s="54" t="str">
        <f>[1]!ArticleMeasureUnit('Detail Verwarm San Vent'!Art_65.52.02.)</f>
        <v>st</v>
      </c>
      <c r="F176" s="72">
        <f>[1]!ArticleQuantity('Detail Verwarm San Vent'!Art_65.52.02.)</f>
        <v>1</v>
      </c>
      <c r="G176" s="54"/>
      <c r="H176" s="56"/>
      <c r="I176" s="56" t="str">
        <f>IF(RIGHT($D176,1)="-","************",ROUND(IF(NOT(ISNUMBER(G176)),IF(NOT(ISNUMBER(F176)),1,F176),G176)*H176,2))</f>
        <v>************</v>
      </c>
      <c r="J176" s="57"/>
      <c r="K176" s="58"/>
      <c r="L176" s="59"/>
      <c r="M176" s="54"/>
      <c r="N176" s="60"/>
      <c r="O176" s="56" t="str">
        <f t="shared" si="26"/>
        <v>*********</v>
      </c>
      <c r="P176" s="61" t="str">
        <f t="shared" si="37"/>
        <v/>
      </c>
      <c r="Q176" s="62" t="str">
        <f t="shared" si="27"/>
        <v/>
      </c>
      <c r="R176" s="59"/>
      <c r="S176" s="54"/>
      <c r="T176" s="60"/>
      <c r="U176" s="56" t="str">
        <f t="shared" si="28"/>
        <v>*********</v>
      </c>
      <c r="V176" s="61" t="str">
        <f t="shared" si="38"/>
        <v/>
      </c>
      <c r="W176" s="62" t="str">
        <f t="shared" si="29"/>
        <v/>
      </c>
      <c r="X176" s="59"/>
      <c r="Y176" s="54"/>
      <c r="Z176" s="60"/>
      <c r="AA176" s="56" t="str">
        <f t="shared" si="30"/>
        <v>*********</v>
      </c>
      <c r="AB176" s="61" t="str">
        <f t="shared" si="39"/>
        <v/>
      </c>
      <c r="AC176" s="62" t="str">
        <f t="shared" si="31"/>
        <v/>
      </c>
    </row>
    <row r="177" spans="1:29">
      <c r="B177" s="64" t="str">
        <f>[1]!ArticleCode('Detail Verwarm San Vent'!Art_65.60.)</f>
        <v>65.60.</v>
      </c>
      <c r="C177" s="65" t="str">
        <f>[1]!ArticleDescription('Detail Verwarm San Vent'!Art_65.60.)</f>
        <v>warmteregeling &amp; toebehoren - algemeen</v>
      </c>
      <c r="D177" s="54"/>
      <c r="E177" s="54"/>
      <c r="F177" s="54"/>
      <c r="G177" s="54"/>
      <c r="H177" s="56"/>
      <c r="I177" s="56"/>
      <c r="J177" s="57"/>
      <c r="K177" s="58"/>
      <c r="L177" s="59"/>
      <c r="M177" s="54"/>
      <c r="N177" s="60"/>
      <c r="O177" s="56">
        <f t="shared" si="26"/>
        <v>0</v>
      </c>
      <c r="P177" s="61" t="str">
        <f t="shared" si="37"/>
        <v/>
      </c>
      <c r="Q177" s="62" t="str">
        <f t="shared" si="27"/>
        <v/>
      </c>
      <c r="R177" s="59"/>
      <c r="S177" s="54"/>
      <c r="T177" s="60"/>
      <c r="U177" s="56">
        <f t="shared" si="28"/>
        <v>0</v>
      </c>
      <c r="V177" s="61" t="str">
        <f t="shared" si="38"/>
        <v/>
      </c>
      <c r="W177" s="62" t="str">
        <f t="shared" si="29"/>
        <v/>
      </c>
      <c r="X177" s="59"/>
      <c r="Y177" s="54"/>
      <c r="Z177" s="60"/>
      <c r="AA177" s="56">
        <f t="shared" si="30"/>
        <v>0</v>
      </c>
      <c r="AB177" s="61" t="str">
        <f t="shared" si="39"/>
        <v/>
      </c>
      <c r="AC177" s="62" t="str">
        <f t="shared" si="31"/>
        <v/>
      </c>
    </row>
    <row r="178" spans="1:29">
      <c r="A178" s="63">
        <f>A176+1</f>
        <v>75</v>
      </c>
      <c r="B178" s="64" t="str">
        <f>[1]!ArticleCode('Detail Verwarm San Vent'!Art_65.62.)</f>
        <v>65.62.</v>
      </c>
      <c r="C178" s="65" t="str">
        <f>[1]!ArticleDescription('Detail Verwarm San Vent'!Art_65.62.)</f>
        <v>warmteregeling &amp; toebehoren - thermostaatkoppen (recuperatie op bestaande radiator)</v>
      </c>
      <c r="D178" s="54" t="str">
        <f>[1]!ArticleMeasureType('Detail Verwarm San Vent'!Art_65.62.)</f>
        <v>FH</v>
      </c>
      <c r="E178" s="54" t="str">
        <f>[1]!ArticleMeasureUnit('Detail Verwarm San Vent'!Art_65.62.)</f>
        <v>st</v>
      </c>
      <c r="F178" s="72">
        <f>[1]!ArticleQuantity('Detail Verwarm San Vent'!Art_65.62.)</f>
        <v>11</v>
      </c>
      <c r="G178" s="54"/>
      <c r="H178" s="56"/>
      <c r="I178" s="56">
        <f>IF(RIGHT($D178,1)="-","************",ROUND(IF(NOT(ISNUMBER(G178)),IF(NOT(ISNUMBER(F178)),1,F178),G178)*H178,2))</f>
        <v>0</v>
      </c>
      <c r="J178" s="57"/>
      <c r="K178" s="58"/>
      <c r="L178" s="59"/>
      <c r="M178" s="54"/>
      <c r="N178" s="60"/>
      <c r="O178" s="56">
        <f t="shared" si="26"/>
        <v>0</v>
      </c>
      <c r="P178" s="61" t="str">
        <f t="shared" si="37"/>
        <v/>
      </c>
      <c r="Q178" s="62" t="str">
        <f t="shared" si="27"/>
        <v/>
      </c>
      <c r="R178" s="59"/>
      <c r="S178" s="54"/>
      <c r="T178" s="60"/>
      <c r="U178" s="56">
        <f t="shared" si="28"/>
        <v>0</v>
      </c>
      <c r="V178" s="61" t="str">
        <f t="shared" si="38"/>
        <v/>
      </c>
      <c r="W178" s="62" t="str">
        <f t="shared" si="29"/>
        <v/>
      </c>
      <c r="X178" s="59"/>
      <c r="Y178" s="54"/>
      <c r="Z178" s="60"/>
      <c r="AA178" s="56">
        <f t="shared" si="30"/>
        <v>0</v>
      </c>
      <c r="AB178" s="61" t="str">
        <f t="shared" si="39"/>
        <v/>
      </c>
      <c r="AC178" s="62" t="str">
        <f t="shared" si="31"/>
        <v/>
      </c>
    </row>
    <row r="179" spans="1:29">
      <c r="A179" s="63">
        <f>A178+1</f>
        <v>76</v>
      </c>
      <c r="B179" s="64" t="str">
        <f>[1]!ArticleCode('Detail Verwarm San Vent'!Art_65.63.)</f>
        <v>65.63.</v>
      </c>
      <c r="C179" s="65" t="str">
        <f>[1]!ArticleDescription('Detail Verwarm San Vent'!Art_65.63.)</f>
        <v xml:space="preserve">warmteregeling &amp; toebehoren - kamerthermostaten </v>
      </c>
      <c r="D179" s="54" t="str">
        <f>[1]!ArticleMeasureType('Detail Verwarm San Vent'!Art_65.63.)</f>
        <v>FH</v>
      </c>
      <c r="E179" s="54" t="str">
        <f>[1]!ArticleMeasureUnit('Detail Verwarm San Vent'!Art_65.63.)</f>
        <v>st</v>
      </c>
      <c r="F179" s="72">
        <f>[1]!ArticleQuantity('Detail Verwarm San Vent'!Art_65.63.)</f>
        <v>2</v>
      </c>
      <c r="G179" s="54"/>
      <c r="H179" s="56"/>
      <c r="I179" s="56">
        <f>IF(RIGHT($D179,1)="-","************",ROUND(IF(NOT(ISNUMBER(G179)),IF(NOT(ISNUMBER(F179)),1,F179),G179)*H179,2))</f>
        <v>0</v>
      </c>
      <c r="J179" s="57"/>
      <c r="K179" s="58"/>
      <c r="L179" s="59"/>
      <c r="M179" s="54"/>
      <c r="N179" s="60"/>
      <c r="O179" s="56">
        <f t="shared" si="26"/>
        <v>0</v>
      </c>
      <c r="P179" s="61" t="str">
        <f t="shared" si="37"/>
        <v/>
      </c>
      <c r="Q179" s="62" t="str">
        <f t="shared" si="27"/>
        <v/>
      </c>
      <c r="R179" s="59"/>
      <c r="S179" s="54"/>
      <c r="T179" s="60"/>
      <c r="U179" s="56">
        <f t="shared" si="28"/>
        <v>0</v>
      </c>
      <c r="V179" s="61" t="str">
        <f t="shared" si="38"/>
        <v/>
      </c>
      <c r="W179" s="62" t="str">
        <f t="shared" si="29"/>
        <v/>
      </c>
      <c r="X179" s="59"/>
      <c r="Y179" s="54"/>
      <c r="Z179" s="60"/>
      <c r="AA179" s="56">
        <f t="shared" si="30"/>
        <v>0</v>
      </c>
      <c r="AB179" s="61" t="str">
        <f t="shared" si="39"/>
        <v/>
      </c>
      <c r="AC179" s="62" t="str">
        <f t="shared" si="31"/>
        <v/>
      </c>
    </row>
    <row r="180" spans="1:29">
      <c r="A180" s="63">
        <f>A179+1</f>
        <v>77</v>
      </c>
      <c r="B180" s="64" t="str">
        <f>[1]!ArticleCode('Detail Verwarm San Vent'!Art_65.64.)</f>
        <v>65.64.</v>
      </c>
      <c r="C180" s="65" t="str">
        <f>[1]!ArticleDescription('Detail Verwarm San Vent'!Art_65.64.)</f>
        <v xml:space="preserve">warmteregeling &amp; toebehoren - weersafhankelijke regeling </v>
      </c>
      <c r="D180" s="54" t="str">
        <f>[1]!ArticleMeasureType('Detail Verwarm San Vent'!Art_65.64.)</f>
        <v>FH</v>
      </c>
      <c r="E180" s="54" t="str">
        <f>[1]!ArticleMeasureUnit('Detail Verwarm San Vent'!Art_65.64.)</f>
        <v>st</v>
      </c>
      <c r="F180" s="72">
        <f>[1]!ArticleQuantity('Detail Verwarm San Vent'!Art_65.64.)</f>
        <v>1</v>
      </c>
      <c r="G180" s="54"/>
      <c r="H180" s="56"/>
      <c r="I180" s="56">
        <f>IF(RIGHT($D180,1)="-","************",ROUND(IF(NOT(ISNUMBER(G180)),IF(NOT(ISNUMBER(F180)),1,F180),G180)*H180,2))</f>
        <v>0</v>
      </c>
      <c r="J180" s="57"/>
      <c r="K180" s="58"/>
      <c r="L180" s="59"/>
      <c r="M180" s="54"/>
      <c r="N180" s="60"/>
      <c r="O180" s="56">
        <f t="shared" si="26"/>
        <v>0</v>
      </c>
      <c r="P180" s="61" t="str">
        <f t="shared" si="37"/>
        <v/>
      </c>
      <c r="Q180" s="62" t="str">
        <f t="shared" si="27"/>
        <v/>
      </c>
      <c r="R180" s="59"/>
      <c r="S180" s="54"/>
      <c r="T180" s="60"/>
      <c r="U180" s="56">
        <f t="shared" si="28"/>
        <v>0</v>
      </c>
      <c r="V180" s="61" t="str">
        <f t="shared" si="38"/>
        <v/>
      </c>
      <c r="W180" s="62" t="str">
        <f t="shared" si="29"/>
        <v/>
      </c>
      <c r="X180" s="59"/>
      <c r="Y180" s="54"/>
      <c r="Z180" s="60"/>
      <c r="AA180" s="56">
        <f t="shared" si="30"/>
        <v>0</v>
      </c>
      <c r="AB180" s="61" t="str">
        <f t="shared" si="39"/>
        <v/>
      </c>
      <c r="AC180" s="62" t="str">
        <f t="shared" si="31"/>
        <v/>
      </c>
    </row>
    <row r="181" spans="1:29">
      <c r="B181" s="66"/>
      <c r="C181" s="67"/>
      <c r="D181" s="68"/>
      <c r="E181" s="67"/>
      <c r="F181" s="67"/>
      <c r="G181" s="67"/>
      <c r="H181" s="69"/>
      <c r="I181" s="69"/>
      <c r="J181" s="70">
        <f>SUBTOTAL(9,I153:I180)</f>
        <v>0</v>
      </c>
      <c r="K181" s="58"/>
      <c r="L181" s="59"/>
      <c r="M181" s="54"/>
      <c r="N181" s="60"/>
      <c r="O181" s="56">
        <f t="shared" si="26"/>
        <v>0</v>
      </c>
      <c r="P181" s="61" t="str">
        <f t="shared" si="37"/>
        <v/>
      </c>
      <c r="Q181" s="62" t="str">
        <f t="shared" si="27"/>
        <v/>
      </c>
      <c r="R181" s="59"/>
      <c r="S181" s="54"/>
      <c r="T181" s="60"/>
      <c r="U181" s="56">
        <f t="shared" si="28"/>
        <v>0</v>
      </c>
      <c r="V181" s="61" t="str">
        <f t="shared" si="38"/>
        <v/>
      </c>
      <c r="W181" s="62" t="str">
        <f t="shared" si="29"/>
        <v/>
      </c>
      <c r="X181" s="59"/>
      <c r="Y181" s="54"/>
      <c r="Z181" s="60"/>
      <c r="AA181" s="56">
        <f t="shared" si="30"/>
        <v>0</v>
      </c>
      <c r="AB181" s="61" t="str">
        <f t="shared" si="39"/>
        <v/>
      </c>
      <c r="AC181" s="62" t="str">
        <f t="shared" si="31"/>
        <v/>
      </c>
    </row>
    <row r="182" spans="1:29">
      <c r="B182" s="71"/>
      <c r="C182" s="54"/>
      <c r="D182" s="54"/>
      <c r="E182" s="54"/>
      <c r="F182" s="54"/>
      <c r="G182" s="54"/>
      <c r="H182" s="56"/>
      <c r="I182" s="56"/>
      <c r="J182" s="57"/>
      <c r="K182" s="58"/>
      <c r="L182" s="59"/>
      <c r="M182" s="54"/>
      <c r="N182" s="60"/>
      <c r="O182" s="56">
        <f t="shared" si="26"/>
        <v>0</v>
      </c>
      <c r="P182" s="61" t="str">
        <f t="shared" si="37"/>
        <v/>
      </c>
      <c r="Q182" s="62" t="str">
        <f t="shared" si="27"/>
        <v/>
      </c>
      <c r="R182" s="59"/>
      <c r="S182" s="54"/>
      <c r="T182" s="60"/>
      <c r="U182" s="56">
        <f t="shared" si="28"/>
        <v>0</v>
      </c>
      <c r="V182" s="61" t="str">
        <f t="shared" si="38"/>
        <v/>
      </c>
      <c r="W182" s="62" t="str">
        <f t="shared" si="29"/>
        <v/>
      </c>
      <c r="X182" s="59"/>
      <c r="Y182" s="54"/>
      <c r="Z182" s="60"/>
      <c r="AA182" s="56">
        <f t="shared" si="30"/>
        <v>0</v>
      </c>
      <c r="AB182" s="61" t="str">
        <f t="shared" si="39"/>
        <v/>
      </c>
      <c r="AC182" s="62" t="str">
        <f t="shared" si="31"/>
        <v/>
      </c>
    </row>
    <row r="183" spans="1:29">
      <c r="B183" s="53" t="s">
        <v>469</v>
      </c>
      <c r="C183" s="54"/>
      <c r="D183" s="55"/>
      <c r="E183" s="54"/>
      <c r="F183" s="54"/>
      <c r="G183" s="54"/>
      <c r="H183" s="56"/>
      <c r="I183" s="56"/>
      <c r="J183" s="57"/>
      <c r="K183" s="58"/>
      <c r="L183" s="59"/>
      <c r="M183" s="54"/>
      <c r="N183" s="60"/>
      <c r="O183" s="56">
        <f t="shared" si="26"/>
        <v>0</v>
      </c>
      <c r="P183" s="61" t="str">
        <f t="shared" si="37"/>
        <v/>
      </c>
      <c r="Q183" s="62" t="str">
        <f t="shared" si="27"/>
        <v/>
      </c>
      <c r="R183" s="59"/>
      <c r="S183" s="54"/>
      <c r="T183" s="60"/>
      <c r="U183" s="56">
        <f t="shared" si="28"/>
        <v>0</v>
      </c>
      <c r="V183" s="61" t="str">
        <f t="shared" si="38"/>
        <v/>
      </c>
      <c r="W183" s="62" t="str">
        <f t="shared" si="29"/>
        <v/>
      </c>
      <c r="X183" s="59"/>
      <c r="Y183" s="54"/>
      <c r="Z183" s="60"/>
      <c r="AA183" s="56">
        <f t="shared" si="30"/>
        <v>0</v>
      </c>
      <c r="AB183" s="61" t="str">
        <f t="shared" si="39"/>
        <v/>
      </c>
      <c r="AC183" s="62" t="str">
        <f t="shared" si="31"/>
        <v/>
      </c>
    </row>
    <row r="184" spans="1:29">
      <c r="B184" s="64" t="str">
        <f>[1]!ArticleCode('Detail Verwarm San Vent'!Art_67.)</f>
        <v>67.</v>
      </c>
      <c r="C184" s="65" t="str">
        <f>[1]!ArticleDescription('Detail Verwarm San Vent'!Art_67.)</f>
        <v>BRANDBESTRIJDING</v>
      </c>
      <c r="D184" s="54"/>
      <c r="E184" s="54"/>
      <c r="F184" s="54"/>
      <c r="G184" s="54"/>
      <c r="H184" s="56"/>
      <c r="I184" s="56"/>
      <c r="J184" s="57"/>
      <c r="K184" s="58"/>
      <c r="L184" s="59"/>
      <c r="M184" s="54"/>
      <c r="N184" s="60"/>
      <c r="O184" s="56">
        <f t="shared" si="26"/>
        <v>0</v>
      </c>
      <c r="P184" s="61" t="str">
        <f t="shared" si="37"/>
        <v/>
      </c>
      <c r="Q184" s="62" t="str">
        <f t="shared" si="27"/>
        <v/>
      </c>
      <c r="R184" s="59"/>
      <c r="S184" s="54"/>
      <c r="T184" s="60"/>
      <c r="U184" s="56">
        <f t="shared" si="28"/>
        <v>0</v>
      </c>
      <c r="V184" s="61" t="str">
        <f t="shared" si="38"/>
        <v/>
      </c>
      <c r="W184" s="62" t="str">
        <f t="shared" si="29"/>
        <v/>
      </c>
      <c r="X184" s="59"/>
      <c r="Y184" s="54"/>
      <c r="Z184" s="60"/>
      <c r="AA184" s="56">
        <f t="shared" si="30"/>
        <v>0</v>
      </c>
      <c r="AB184" s="61" t="str">
        <f t="shared" si="39"/>
        <v/>
      </c>
      <c r="AC184" s="62" t="str">
        <f t="shared" si="31"/>
        <v/>
      </c>
    </row>
    <row r="185" spans="1:29">
      <c r="B185" s="64" t="str">
        <f>[1]!ArticleCode('Detail Verwarm San Vent'!Art_67.00.)</f>
        <v>67.00.</v>
      </c>
      <c r="C185" s="65" t="str">
        <f>[1]!ArticleDescription('Detail Verwarm San Vent'!Art_67.00.)</f>
        <v>brandbestrijding - algemeen</v>
      </c>
      <c r="D185" s="54"/>
      <c r="E185" s="54"/>
      <c r="F185" s="54"/>
      <c r="G185" s="54"/>
      <c r="H185" s="56"/>
      <c r="I185" s="56"/>
      <c r="J185" s="57"/>
      <c r="K185" s="58"/>
      <c r="L185" s="59"/>
      <c r="M185" s="54"/>
      <c r="N185" s="60"/>
      <c r="O185" s="56">
        <f t="shared" si="26"/>
        <v>0</v>
      </c>
      <c r="P185" s="61" t="str">
        <f t="shared" si="37"/>
        <v/>
      </c>
      <c r="Q185" s="62" t="str">
        <f t="shared" si="27"/>
        <v/>
      </c>
      <c r="R185" s="59"/>
      <c r="S185" s="54"/>
      <c r="T185" s="60"/>
      <c r="U185" s="56">
        <f t="shared" si="28"/>
        <v>0</v>
      </c>
      <c r="V185" s="61" t="str">
        <f t="shared" si="38"/>
        <v/>
      </c>
      <c r="W185" s="62" t="str">
        <f t="shared" si="29"/>
        <v/>
      </c>
      <c r="X185" s="59"/>
      <c r="Y185" s="54"/>
      <c r="Z185" s="60"/>
      <c r="AA185" s="56">
        <f t="shared" si="30"/>
        <v>0</v>
      </c>
      <c r="AB185" s="61" t="str">
        <f t="shared" si="39"/>
        <v/>
      </c>
      <c r="AC185" s="62" t="str">
        <f t="shared" si="31"/>
        <v/>
      </c>
    </row>
    <row r="186" spans="1:29">
      <c r="B186" s="64" t="str">
        <f>[1]!ArticleCode('Detail Verwarm San Vent'!Art_67.10.)</f>
        <v>67.10.</v>
      </c>
      <c r="C186" s="65" t="str">
        <f>[1]!ArticleDescription('Detail Verwarm San Vent'!Art_67.10.)</f>
        <v>brandblusapparaten - algemeen</v>
      </c>
      <c r="D186" s="54"/>
      <c r="E186" s="54"/>
      <c r="F186" s="54"/>
      <c r="G186" s="54"/>
      <c r="H186" s="56"/>
      <c r="I186" s="56"/>
      <c r="J186" s="57"/>
      <c r="K186" s="58"/>
      <c r="L186" s="59"/>
      <c r="M186" s="54"/>
      <c r="N186" s="60"/>
      <c r="O186" s="56">
        <f t="shared" si="26"/>
        <v>0</v>
      </c>
      <c r="P186" s="61" t="str">
        <f t="shared" si="37"/>
        <v/>
      </c>
      <c r="Q186" s="62" t="str">
        <f t="shared" si="27"/>
        <v/>
      </c>
      <c r="R186" s="59"/>
      <c r="S186" s="54"/>
      <c r="T186" s="60"/>
      <c r="U186" s="56">
        <f t="shared" si="28"/>
        <v>0</v>
      </c>
      <c r="V186" s="61" t="str">
        <f t="shared" si="38"/>
        <v/>
      </c>
      <c r="W186" s="62" t="str">
        <f t="shared" si="29"/>
        <v/>
      </c>
      <c r="X186" s="59"/>
      <c r="Y186" s="54"/>
      <c r="Z186" s="60"/>
      <c r="AA186" s="56">
        <f t="shared" si="30"/>
        <v>0</v>
      </c>
      <c r="AB186" s="61" t="str">
        <f t="shared" si="39"/>
        <v/>
      </c>
      <c r="AC186" s="62" t="str">
        <f t="shared" si="31"/>
        <v/>
      </c>
    </row>
    <row r="187" spans="1:29">
      <c r="A187" s="63">
        <f>A180+1</f>
        <v>78</v>
      </c>
      <c r="B187" s="64" t="str">
        <f>[1]!ArticleCode(Art_67.11.)</f>
        <v>67.11.</v>
      </c>
      <c r="C187" s="65" t="str">
        <f>[1]!ArticleDescription(Art_67.11.)</f>
        <v>brandblusapparaten - blusdeken</v>
      </c>
      <c r="D187" s="54" t="str">
        <f>[1]!ArticleMeasureType(Art_67.11.)</f>
        <v>VH</v>
      </c>
      <c r="E187" s="54" t="str">
        <f>[1]!ArticleMeasureUnit(Art_67.11.)</f>
        <v>st</v>
      </c>
      <c r="F187" s="72">
        <f>[1]!ArticleQuantity(Art_67.11.)</f>
        <v>1</v>
      </c>
      <c r="G187" s="54"/>
      <c r="H187" s="56"/>
      <c r="I187" s="56">
        <f>IF(RIGHT($D187,1)="-","************",ROUND(IF(NOT(ISNUMBER(G187)),IF(NOT(ISNUMBER(F187)),1,F187),G187)*H187,2))</f>
        <v>0</v>
      </c>
      <c r="J187" s="57"/>
      <c r="K187" s="58"/>
      <c r="L187" s="59"/>
      <c r="M187" s="54"/>
      <c r="N187" s="60"/>
      <c r="O187" s="56">
        <f t="shared" si="26"/>
        <v>0</v>
      </c>
      <c r="P187" s="61" t="str">
        <f t="shared" si="37"/>
        <v/>
      </c>
      <c r="Q187" s="62" t="str">
        <f t="shared" si="27"/>
        <v/>
      </c>
      <c r="R187" s="59"/>
      <c r="S187" s="54"/>
      <c r="T187" s="60"/>
      <c r="U187" s="56">
        <f t="shared" si="28"/>
        <v>0</v>
      </c>
      <c r="V187" s="61" t="str">
        <f t="shared" si="38"/>
        <v/>
      </c>
      <c r="W187" s="62" t="str">
        <f t="shared" si="29"/>
        <v/>
      </c>
      <c r="X187" s="59"/>
      <c r="Y187" s="54"/>
      <c r="Z187" s="60"/>
      <c r="AA187" s="56">
        <f t="shared" si="30"/>
        <v>0</v>
      </c>
      <c r="AB187" s="61" t="str">
        <f t="shared" si="39"/>
        <v/>
      </c>
      <c r="AC187" s="62" t="str">
        <f t="shared" si="31"/>
        <v/>
      </c>
    </row>
    <row r="188" spans="1:29">
      <c r="A188" s="63">
        <f>A187+1</f>
        <v>79</v>
      </c>
      <c r="B188" s="64" t="str">
        <f>[1]!ArticleCode(Art_67.12.)</f>
        <v>67.12.</v>
      </c>
      <c r="C188" s="65" t="str">
        <f>[1]!ArticleDescription(Art_67.12.)</f>
        <v xml:space="preserve">brandblusapparaten - schuimsnelblussers </v>
      </c>
      <c r="D188" s="54" t="str">
        <f>[1]!ArticleMeasureType(Art_67.12.)</f>
        <v>VH</v>
      </c>
      <c r="E188" s="54" t="str">
        <f>[1]!ArticleMeasureUnit(Art_67.12.)</f>
        <v>st</v>
      </c>
      <c r="F188" s="72">
        <f>[1]!ArticleQuantity(Art_67.12.)</f>
        <v>3</v>
      </c>
      <c r="G188" s="54"/>
      <c r="H188" s="56"/>
      <c r="I188" s="56">
        <f>IF(RIGHT($D188,1)="-","************",ROUND(IF(NOT(ISNUMBER(G188)),IF(NOT(ISNUMBER(F188)),1,F188),G188)*H188,2))</f>
        <v>0</v>
      </c>
      <c r="J188" s="57"/>
      <c r="K188" s="58"/>
      <c r="L188" s="59"/>
      <c r="M188" s="54"/>
      <c r="N188" s="60"/>
      <c r="O188" s="56">
        <f t="shared" si="26"/>
        <v>0</v>
      </c>
      <c r="P188" s="61" t="str">
        <f t="shared" si="37"/>
        <v/>
      </c>
      <c r="Q188" s="62" t="str">
        <f t="shared" si="27"/>
        <v/>
      </c>
      <c r="R188" s="59"/>
      <c r="S188" s="54"/>
      <c r="T188" s="60"/>
      <c r="U188" s="56">
        <f t="shared" si="28"/>
        <v>0</v>
      </c>
      <c r="V188" s="61" t="str">
        <f t="shared" si="38"/>
        <v/>
      </c>
      <c r="W188" s="62" t="str">
        <f t="shared" si="29"/>
        <v/>
      </c>
      <c r="X188" s="59"/>
      <c r="Y188" s="54"/>
      <c r="Z188" s="60"/>
      <c r="AA188" s="56">
        <f t="shared" si="30"/>
        <v>0</v>
      </c>
      <c r="AB188" s="61" t="str">
        <f t="shared" si="39"/>
        <v/>
      </c>
      <c r="AC188" s="62" t="str">
        <f t="shared" si="31"/>
        <v/>
      </c>
    </row>
    <row r="189" spans="1:29">
      <c r="A189" s="63">
        <f>A188+1</f>
        <v>80</v>
      </c>
      <c r="B189" s="64" t="str">
        <f>[1]!ArticleCode('Detail Verwarm San Vent'!Art_67.13.)</f>
        <v>67.13.</v>
      </c>
      <c r="C189" s="65" t="str">
        <f>[1]!ArticleDescription('Detail Verwarm San Vent'!Art_67.13.)</f>
        <v>brandblusapparaten - Co2blussers</v>
      </c>
      <c r="D189" s="54" t="str">
        <f>[1]!ArticleMeasureType('Detail Verwarm San Vent'!Art_67.13.)</f>
        <v>VH</v>
      </c>
      <c r="E189" s="54" t="str">
        <f>[1]!ArticleMeasureUnit('Detail Verwarm San Vent'!Art_67.13.)</f>
        <v>st</v>
      </c>
      <c r="F189" s="72">
        <f>[1]!ArticleQuantity('Detail Verwarm San Vent'!Art_67.13.)</f>
        <v>1</v>
      </c>
      <c r="G189" s="54"/>
      <c r="H189" s="56"/>
      <c r="I189" s="56">
        <f>IF(RIGHT($D189,1)="-","************",ROUND(IF(NOT(ISNUMBER(G189)),IF(NOT(ISNUMBER(F189)),1,F189),G189)*H189,2))</f>
        <v>0</v>
      </c>
      <c r="J189" s="57"/>
      <c r="K189" s="58"/>
      <c r="L189" s="59"/>
      <c r="M189" s="54"/>
      <c r="N189" s="60"/>
      <c r="O189" s="56">
        <f t="shared" si="26"/>
        <v>0</v>
      </c>
      <c r="P189" s="61" t="str">
        <f t="shared" si="37"/>
        <v/>
      </c>
      <c r="Q189" s="62" t="str">
        <f t="shared" si="27"/>
        <v/>
      </c>
      <c r="R189" s="59"/>
      <c r="S189" s="54"/>
      <c r="T189" s="60"/>
      <c r="U189" s="56">
        <f t="shared" si="28"/>
        <v>0</v>
      </c>
      <c r="V189" s="61" t="str">
        <f t="shared" si="38"/>
        <v/>
      </c>
      <c r="W189" s="62" t="str">
        <f t="shared" si="29"/>
        <v/>
      </c>
      <c r="X189" s="59"/>
      <c r="Y189" s="54"/>
      <c r="Z189" s="60"/>
      <c r="AA189" s="56">
        <f t="shared" si="30"/>
        <v>0</v>
      </c>
      <c r="AB189" s="61" t="str">
        <f t="shared" si="39"/>
        <v/>
      </c>
      <c r="AC189" s="62" t="str">
        <f t="shared" si="31"/>
        <v/>
      </c>
    </row>
    <row r="190" spans="1:29">
      <c r="B190" s="66"/>
      <c r="C190" s="67"/>
      <c r="D190" s="68"/>
      <c r="E190" s="67"/>
      <c r="F190" s="67"/>
      <c r="G190" s="67"/>
      <c r="H190" s="69"/>
      <c r="I190" s="69"/>
      <c r="J190" s="70">
        <f>SUBTOTAL(9,I184:I189)</f>
        <v>0</v>
      </c>
      <c r="K190" s="58"/>
      <c r="L190" s="59"/>
      <c r="M190" s="54"/>
      <c r="N190" s="60"/>
      <c r="O190" s="56">
        <f t="shared" si="26"/>
        <v>0</v>
      </c>
      <c r="P190" s="61" t="str">
        <f t="shared" si="37"/>
        <v/>
      </c>
      <c r="Q190" s="62" t="str">
        <f t="shared" si="27"/>
        <v/>
      </c>
      <c r="R190" s="59"/>
      <c r="S190" s="54"/>
      <c r="T190" s="60"/>
      <c r="U190" s="56">
        <f t="shared" si="28"/>
        <v>0</v>
      </c>
      <c r="V190" s="61" t="str">
        <f t="shared" si="38"/>
        <v/>
      </c>
      <c r="W190" s="62" t="str">
        <f t="shared" si="29"/>
        <v/>
      </c>
      <c r="X190" s="59"/>
      <c r="Y190" s="54"/>
      <c r="Z190" s="60"/>
      <c r="AA190" s="56">
        <f t="shared" si="30"/>
        <v>0</v>
      </c>
      <c r="AB190" s="61" t="str">
        <f t="shared" si="39"/>
        <v/>
      </c>
      <c r="AC190" s="62" t="str">
        <f t="shared" si="31"/>
        <v/>
      </c>
    </row>
    <row r="191" spans="1:29">
      <c r="B191" s="71"/>
      <c r="C191" s="54"/>
      <c r="D191" s="54"/>
      <c r="E191" s="54"/>
      <c r="F191" s="54"/>
      <c r="G191" s="54"/>
      <c r="H191" s="56"/>
      <c r="I191" s="56"/>
      <c r="J191" s="57"/>
      <c r="K191" s="58"/>
      <c r="L191" s="59"/>
      <c r="M191" s="54"/>
      <c r="N191" s="60"/>
      <c r="O191" s="56">
        <f t="shared" si="26"/>
        <v>0</v>
      </c>
      <c r="P191" s="61" t="str">
        <f t="shared" si="37"/>
        <v/>
      </c>
      <c r="Q191" s="62" t="str">
        <f t="shared" si="27"/>
        <v/>
      </c>
      <c r="R191" s="59"/>
      <c r="S191" s="54"/>
      <c r="T191" s="60"/>
      <c r="U191" s="56">
        <f t="shared" si="28"/>
        <v>0</v>
      </c>
      <c r="V191" s="61" t="str">
        <f t="shared" si="38"/>
        <v/>
      </c>
      <c r="W191" s="62" t="str">
        <f t="shared" si="29"/>
        <v/>
      </c>
      <c r="X191" s="59"/>
      <c r="Y191" s="54"/>
      <c r="Z191" s="60"/>
      <c r="AA191" s="56">
        <f t="shared" si="30"/>
        <v>0</v>
      </c>
      <c r="AB191" s="61" t="str">
        <f t="shared" si="39"/>
        <v/>
      </c>
      <c r="AC191" s="62" t="str">
        <f t="shared" si="31"/>
        <v/>
      </c>
    </row>
    <row r="192" spans="1:29">
      <c r="B192" s="53" t="s">
        <v>470</v>
      </c>
      <c r="C192" s="54"/>
      <c r="D192" s="55"/>
      <c r="E192" s="54"/>
      <c r="F192" s="54"/>
      <c r="G192" s="54"/>
      <c r="H192" s="56"/>
      <c r="I192" s="56"/>
      <c r="J192" s="57"/>
      <c r="K192" s="58"/>
      <c r="L192" s="59"/>
      <c r="M192" s="54"/>
      <c r="N192" s="60"/>
      <c r="O192" s="56">
        <f t="shared" si="26"/>
        <v>0</v>
      </c>
      <c r="P192" s="61" t="str">
        <f t="shared" si="37"/>
        <v/>
      </c>
      <c r="Q192" s="62" t="str">
        <f t="shared" si="27"/>
        <v/>
      </c>
      <c r="R192" s="59"/>
      <c r="S192" s="54"/>
      <c r="T192" s="60"/>
      <c r="U192" s="56">
        <f t="shared" si="28"/>
        <v>0</v>
      </c>
      <c r="V192" s="61" t="str">
        <f t="shared" si="38"/>
        <v/>
      </c>
      <c r="W192" s="62" t="str">
        <f t="shared" si="29"/>
        <v/>
      </c>
      <c r="X192" s="59"/>
      <c r="Y192" s="54"/>
      <c r="Z192" s="60"/>
      <c r="AA192" s="56">
        <f t="shared" si="30"/>
        <v>0</v>
      </c>
      <c r="AB192" s="61" t="str">
        <f t="shared" si="39"/>
        <v/>
      </c>
      <c r="AC192" s="62" t="str">
        <f t="shared" si="31"/>
        <v/>
      </c>
    </row>
    <row r="193" spans="1:29">
      <c r="B193" s="64" t="str">
        <f>[1]!ArticleCode('Detail Verwarm San Vent'!Art_68.)</f>
        <v>68.</v>
      </c>
      <c r="C193" s="65" t="str">
        <f>[1]!ArticleDescription('Detail Verwarm San Vent'!Art_68.)</f>
        <v>VENTILATIE</v>
      </c>
      <c r="D193" s="54"/>
      <c r="E193" s="54"/>
      <c r="F193" s="54"/>
      <c r="G193" s="54"/>
      <c r="H193" s="56"/>
      <c r="I193" s="56"/>
      <c r="J193" s="57"/>
      <c r="K193" s="58"/>
      <c r="L193" s="59"/>
      <c r="M193" s="54"/>
      <c r="N193" s="60"/>
      <c r="O193" s="56">
        <f t="shared" si="26"/>
        <v>0</v>
      </c>
      <c r="P193" s="61" t="str">
        <f t="shared" si="37"/>
        <v/>
      </c>
      <c r="Q193" s="62" t="str">
        <f t="shared" si="27"/>
        <v/>
      </c>
      <c r="R193" s="59"/>
      <c r="S193" s="54"/>
      <c r="T193" s="60"/>
      <c r="U193" s="56">
        <f t="shared" si="28"/>
        <v>0</v>
      </c>
      <c r="V193" s="61" t="str">
        <f t="shared" si="38"/>
        <v/>
      </c>
      <c r="W193" s="62" t="str">
        <f t="shared" si="29"/>
        <v/>
      </c>
      <c r="X193" s="59"/>
      <c r="Y193" s="54"/>
      <c r="Z193" s="60"/>
      <c r="AA193" s="56">
        <f t="shared" si="30"/>
        <v>0</v>
      </c>
      <c r="AB193" s="61" t="str">
        <f t="shared" si="39"/>
        <v/>
      </c>
      <c r="AC193" s="62" t="str">
        <f t="shared" si="31"/>
        <v/>
      </c>
    </row>
    <row r="194" spans="1:29">
      <c r="B194" s="64" t="str">
        <f>[1]!ArticleCode('Detail Verwarm San Vent'!Art_68.00.)</f>
        <v>68.00.</v>
      </c>
      <c r="C194" s="65" t="str">
        <f>[1]!ArticleDescription('Detail Verwarm San Vent'!Art_68.00.)</f>
        <v>ventilatie - algemeen</v>
      </c>
      <c r="D194" s="54"/>
      <c r="E194" s="54"/>
      <c r="F194" s="54"/>
      <c r="G194" s="54"/>
      <c r="H194" s="56"/>
      <c r="I194" s="56"/>
      <c r="J194" s="57"/>
      <c r="K194" s="58"/>
      <c r="L194" s="59"/>
      <c r="M194" s="54"/>
      <c r="N194" s="60"/>
      <c r="O194" s="56">
        <f t="shared" si="26"/>
        <v>0</v>
      </c>
      <c r="P194" s="61" t="str">
        <f t="shared" si="37"/>
        <v/>
      </c>
      <c r="Q194" s="62" t="str">
        <f t="shared" si="27"/>
        <v/>
      </c>
      <c r="R194" s="59"/>
      <c r="S194" s="54"/>
      <c r="T194" s="60"/>
      <c r="U194" s="56">
        <f t="shared" si="28"/>
        <v>0</v>
      </c>
      <c r="V194" s="61" t="str">
        <f t="shared" si="38"/>
        <v/>
      </c>
      <c r="W194" s="62" t="str">
        <f t="shared" si="29"/>
        <v/>
      </c>
      <c r="X194" s="59"/>
      <c r="Y194" s="54"/>
      <c r="Z194" s="60"/>
      <c r="AA194" s="56">
        <f t="shared" si="30"/>
        <v>0</v>
      </c>
      <c r="AB194" s="61" t="str">
        <f t="shared" si="39"/>
        <v/>
      </c>
      <c r="AC194" s="62" t="str">
        <f t="shared" si="31"/>
        <v/>
      </c>
    </row>
    <row r="195" spans="1:29">
      <c r="B195" s="64" t="str">
        <f>[1]!ArticleCode('Detail Verwarm San Vent'!Art_68.02.)</f>
        <v>68.02.</v>
      </c>
      <c r="C195" s="65" t="str">
        <f>[1]!ArticleDescription('Detail Verwarm San Vent'!Art_68.02.)</f>
        <v>ventilatie – proeven</v>
      </c>
      <c r="D195" s="54"/>
      <c r="E195" s="54"/>
      <c r="F195" s="54"/>
      <c r="G195" s="54"/>
      <c r="H195" s="56"/>
      <c r="I195" s="56"/>
      <c r="J195" s="57"/>
      <c r="K195" s="58"/>
      <c r="L195" s="59"/>
      <c r="M195" s="54"/>
      <c r="N195" s="60"/>
      <c r="O195" s="56">
        <f t="shared" si="26"/>
        <v>0</v>
      </c>
      <c r="P195" s="61" t="str">
        <f t="shared" si="37"/>
        <v/>
      </c>
      <c r="Q195" s="62" t="str">
        <f t="shared" si="27"/>
        <v/>
      </c>
      <c r="R195" s="59"/>
      <c r="S195" s="54"/>
      <c r="T195" s="60"/>
      <c r="U195" s="56">
        <f t="shared" si="28"/>
        <v>0</v>
      </c>
      <c r="V195" s="61" t="str">
        <f t="shared" si="38"/>
        <v/>
      </c>
      <c r="W195" s="62" t="str">
        <f t="shared" si="29"/>
        <v/>
      </c>
      <c r="X195" s="59"/>
      <c r="Y195" s="54"/>
      <c r="Z195" s="60"/>
      <c r="AA195" s="56">
        <f t="shared" si="30"/>
        <v>0</v>
      </c>
      <c r="AB195" s="61" t="str">
        <f t="shared" si="39"/>
        <v/>
      </c>
      <c r="AC195" s="62" t="str">
        <f t="shared" si="31"/>
        <v/>
      </c>
    </row>
    <row r="196" spans="1:29">
      <c r="A196" s="63">
        <f>A189+1</f>
        <v>81</v>
      </c>
      <c r="B196" s="64" t="str">
        <f>[1]!ArticleCode('Detail Verwarm San Vent'!Art_68.02.10.)</f>
        <v>68.02.10.</v>
      </c>
      <c r="C196" s="65" t="str">
        <f>[1]!ArticleDescription('Detail Verwarm San Vent'!Art_68.02.10.)</f>
        <v>ventilatie – proeven/debietmeting</v>
      </c>
      <c r="D196" s="54" t="str">
        <f>[1]!ArticleMeasureType('Detail Verwarm San Vent'!Art_68.02.10.)</f>
        <v/>
      </c>
      <c r="E196" s="54" t="str">
        <f>[1]!ArticleMeasureUnit('Detail Verwarm San Vent'!Art_68.02.10.)</f>
        <v>SOG</v>
      </c>
      <c r="F196" s="72" t="str">
        <f>[1]!ArticleQuantity('Detail Verwarm San Vent'!Art_68.02.10.)</f>
        <v/>
      </c>
      <c r="G196" s="54"/>
      <c r="H196" s="56"/>
      <c r="I196" s="56">
        <f>IF(RIGHT($D196,1)="-","************",ROUND(IF(NOT(ISNUMBER(G196)),IF(NOT(ISNUMBER(F196)),1,F196),G196)*H196,2))</f>
        <v>0</v>
      </c>
      <c r="J196" s="57"/>
      <c r="K196" s="58"/>
      <c r="L196" s="59"/>
      <c r="M196" s="54"/>
      <c r="N196" s="60"/>
      <c r="O196" s="56">
        <f t="shared" ref="O196:O227" si="40">IF(MID($D196,3,1)="-","*********",ROUND(IF(NOT(ISNUMBER($G196)),IF(NOT(ISNUMBER($F196)),1,$F196),$G196)*(IF(NOT(ISNUMBER(N196)),L196,N196)),2))</f>
        <v>0</v>
      </c>
      <c r="P196" s="61" t="str">
        <f t="shared" ref="P196:P227" si="41">IF(O$228=0,"",O196/O$228)</f>
        <v/>
      </c>
      <c r="Q196" s="62" t="str">
        <f t="shared" ref="Q196:Q227" si="42">IF($K196=0,"",IF(NOT(ISNUMBER(N196)),L196,N196)/$K196-1)</f>
        <v/>
      </c>
      <c r="R196" s="59"/>
      <c r="S196" s="54"/>
      <c r="T196" s="60"/>
      <c r="U196" s="56">
        <f t="shared" ref="U196:U227" si="43">IF(MID($D196,3,1)="-","*********",ROUND(IF(NOT(ISNUMBER($G196)),IF(NOT(ISNUMBER($F196)),1,$F196),$G196)*(IF(NOT(ISNUMBER(T196)),R196,T196)),2))</f>
        <v>0</v>
      </c>
      <c r="V196" s="61" t="str">
        <f t="shared" ref="V196:V227" si="44">IF(U$228=0,"",U196/U$228)</f>
        <v/>
      </c>
      <c r="W196" s="62" t="str">
        <f t="shared" ref="W196:W227" si="45">IF($K196=0,"",IF(NOT(ISNUMBER(T196)),R196,T196)/$K196-1)</f>
        <v/>
      </c>
      <c r="X196" s="59"/>
      <c r="Y196" s="54"/>
      <c r="Z196" s="60"/>
      <c r="AA196" s="56">
        <f t="shared" ref="AA196:AA227" si="46">IF(MID($D196,3,1)="-","*********",ROUND(IF(NOT(ISNUMBER($G196)),IF(NOT(ISNUMBER($F196)),1,$F196),$G196)*(IF(NOT(ISNUMBER(Z196)),X196,Z196)),2))</f>
        <v>0</v>
      </c>
      <c r="AB196" s="61" t="str">
        <f t="shared" ref="AB196:AB227" si="47">IF(AA$228=0,"",AA196/AA$228)</f>
        <v/>
      </c>
      <c r="AC196" s="62" t="str">
        <f t="shared" ref="AC196:AC227" si="48">IF($K196=0,"",IF(NOT(ISNUMBER(Z196)),X196,Z196)/$K196-1)</f>
        <v/>
      </c>
    </row>
    <row r="197" spans="1:29">
      <c r="A197" s="63">
        <f>A196+1</f>
        <v>82</v>
      </c>
      <c r="B197" s="64" t="str">
        <f>[1]!ArticleCode('Detail Verwarm San Vent'!Art_68.02.20.)</f>
        <v>68.02.20.</v>
      </c>
      <c r="C197" s="65" t="str">
        <f>[1]!ArticleDescription('Detail Verwarm San Vent'!Art_68.02.20.)</f>
        <v>ventilatie – proeven/meting kanaaldichtheid</v>
      </c>
      <c r="D197" s="54" t="str">
        <f>[1]!ArticleMeasureType('Detail Verwarm San Vent'!Art_68.02.20.)</f>
        <v/>
      </c>
      <c r="E197" s="54" t="str">
        <f>[1]!ArticleMeasureUnit('Detail Verwarm San Vent'!Art_68.02.20.)</f>
        <v>SOG</v>
      </c>
      <c r="F197" s="72" t="str">
        <f>[1]!ArticleQuantity('Detail Verwarm San Vent'!Art_68.02.20.)</f>
        <v/>
      </c>
      <c r="G197" s="54"/>
      <c r="H197" s="56"/>
      <c r="I197" s="56">
        <f>IF(RIGHT($D197,1)="-","************",ROUND(IF(NOT(ISNUMBER(G197)),IF(NOT(ISNUMBER(F197)),1,F197),G197)*H197,2))</f>
        <v>0</v>
      </c>
      <c r="J197" s="57"/>
      <c r="K197" s="58"/>
      <c r="L197" s="59"/>
      <c r="M197" s="54"/>
      <c r="N197" s="60"/>
      <c r="O197" s="56">
        <f t="shared" si="40"/>
        <v>0</v>
      </c>
      <c r="P197" s="61" t="str">
        <f t="shared" si="41"/>
        <v/>
      </c>
      <c r="Q197" s="62" t="str">
        <f t="shared" si="42"/>
        <v/>
      </c>
      <c r="R197" s="59"/>
      <c r="S197" s="54"/>
      <c r="T197" s="60"/>
      <c r="U197" s="56">
        <f t="shared" si="43"/>
        <v>0</v>
      </c>
      <c r="V197" s="61" t="str">
        <f t="shared" si="44"/>
        <v/>
      </c>
      <c r="W197" s="62" t="str">
        <f t="shared" si="45"/>
        <v/>
      </c>
      <c r="X197" s="59"/>
      <c r="Y197" s="54"/>
      <c r="Z197" s="60"/>
      <c r="AA197" s="56">
        <f t="shared" si="46"/>
        <v>0</v>
      </c>
      <c r="AB197" s="61" t="str">
        <f t="shared" si="47"/>
        <v/>
      </c>
      <c r="AC197" s="62" t="str">
        <f t="shared" si="48"/>
        <v/>
      </c>
    </row>
    <row r="198" spans="1:29">
      <c r="B198" s="64" t="str">
        <f>[1]!ArticleCode('Detail Verwarm San Vent'!Art_68.10.)</f>
        <v>68.10.</v>
      </c>
      <c r="C198" s="65" t="str">
        <f>[1]!ArticleDescription('Detail Verwarm San Vent'!Art_68.10.)</f>
        <v>ventilatiekanalen - algemeen</v>
      </c>
      <c r="D198" s="54"/>
      <c r="E198" s="54"/>
      <c r="F198" s="54"/>
      <c r="G198" s="54"/>
      <c r="H198" s="56"/>
      <c r="I198" s="56"/>
      <c r="J198" s="57"/>
      <c r="K198" s="58"/>
      <c r="L198" s="59"/>
      <c r="M198" s="54"/>
      <c r="N198" s="60"/>
      <c r="O198" s="56">
        <f t="shared" si="40"/>
        <v>0</v>
      </c>
      <c r="P198" s="61" t="str">
        <f t="shared" si="41"/>
        <v/>
      </c>
      <c r="Q198" s="62" t="str">
        <f t="shared" si="42"/>
        <v/>
      </c>
      <c r="R198" s="59"/>
      <c r="S198" s="54"/>
      <c r="T198" s="60"/>
      <c r="U198" s="56">
        <f t="shared" si="43"/>
        <v>0</v>
      </c>
      <c r="V198" s="61" t="str">
        <f t="shared" si="44"/>
        <v/>
      </c>
      <c r="W198" s="62" t="str">
        <f t="shared" si="45"/>
        <v/>
      </c>
      <c r="X198" s="59"/>
      <c r="Y198" s="54"/>
      <c r="Z198" s="60"/>
      <c r="AA198" s="56">
        <f t="shared" si="46"/>
        <v>0</v>
      </c>
      <c r="AB198" s="61" t="str">
        <f t="shared" si="47"/>
        <v/>
      </c>
      <c r="AC198" s="62" t="str">
        <f t="shared" si="48"/>
        <v/>
      </c>
    </row>
    <row r="199" spans="1:29">
      <c r="B199" s="64" t="str">
        <f>[1]!ArticleCode('Detail Verwarm San Vent'!Art_68.11.)</f>
        <v>68.11.</v>
      </c>
      <c r="C199" s="65" t="str">
        <f>[1]!ArticleDescription('Detail Verwarm San Vent'!Art_68.11.)</f>
        <v>ventilatiekanalen - metaal</v>
      </c>
      <c r="D199" s="54"/>
      <c r="E199" s="54"/>
      <c r="F199" s="54"/>
      <c r="G199" s="54"/>
      <c r="H199" s="56"/>
      <c r="I199" s="56"/>
      <c r="J199" s="57"/>
      <c r="K199" s="58"/>
      <c r="L199" s="59"/>
      <c r="M199" s="54"/>
      <c r="N199" s="60"/>
      <c r="O199" s="56">
        <f t="shared" si="40"/>
        <v>0</v>
      </c>
      <c r="P199" s="61" t="str">
        <f t="shared" si="41"/>
        <v/>
      </c>
      <c r="Q199" s="62" t="str">
        <f t="shared" si="42"/>
        <v/>
      </c>
      <c r="R199" s="59"/>
      <c r="S199" s="54"/>
      <c r="T199" s="60"/>
      <c r="U199" s="56">
        <f t="shared" si="43"/>
        <v>0</v>
      </c>
      <c r="V199" s="61" t="str">
        <f t="shared" si="44"/>
        <v/>
      </c>
      <c r="W199" s="62" t="str">
        <f t="shared" si="45"/>
        <v/>
      </c>
      <c r="X199" s="59"/>
      <c r="Y199" s="54"/>
      <c r="Z199" s="60"/>
      <c r="AA199" s="56">
        <f t="shared" si="46"/>
        <v>0</v>
      </c>
      <c r="AB199" s="61" t="str">
        <f t="shared" si="47"/>
        <v/>
      </c>
      <c r="AC199" s="62" t="str">
        <f t="shared" si="48"/>
        <v/>
      </c>
    </row>
    <row r="200" spans="1:29">
      <c r="B200" s="64" t="str">
        <f>[1]!ArticleCode('Detail Verwarm San Vent'!Art_68.11.10.)</f>
        <v>68.11.10.</v>
      </c>
      <c r="C200" s="65" t="str">
        <f>[1]!ArticleDescription('Detail Verwarm San Vent'!Art_68.11.10.)</f>
        <v xml:space="preserve">ventilatiekanalen - metaal/rond </v>
      </c>
      <c r="D200" s="54"/>
      <c r="E200" s="54"/>
      <c r="F200" s="54"/>
      <c r="G200" s="54"/>
      <c r="H200" s="56"/>
      <c r="I200" s="56"/>
      <c r="J200" s="57"/>
      <c r="K200" s="58"/>
      <c r="L200" s="59"/>
      <c r="M200" s="54"/>
      <c r="N200" s="60"/>
      <c r="O200" s="56">
        <f t="shared" si="40"/>
        <v>0</v>
      </c>
      <c r="P200" s="61" t="str">
        <f t="shared" si="41"/>
        <v/>
      </c>
      <c r="Q200" s="62" t="str">
        <f t="shared" si="42"/>
        <v/>
      </c>
      <c r="R200" s="59"/>
      <c r="S200" s="54"/>
      <c r="T200" s="60"/>
      <c r="U200" s="56">
        <f t="shared" si="43"/>
        <v>0</v>
      </c>
      <c r="V200" s="61" t="str">
        <f t="shared" si="44"/>
        <v/>
      </c>
      <c r="W200" s="62" t="str">
        <f t="shared" si="45"/>
        <v/>
      </c>
      <c r="X200" s="59"/>
      <c r="Y200" s="54"/>
      <c r="Z200" s="60"/>
      <c r="AA200" s="56">
        <f t="shared" si="46"/>
        <v>0</v>
      </c>
      <c r="AB200" s="61" t="str">
        <f t="shared" si="47"/>
        <v/>
      </c>
      <c r="AC200" s="62" t="str">
        <f t="shared" si="48"/>
        <v/>
      </c>
    </row>
    <row r="201" spans="1:29">
      <c r="A201" s="63">
        <f>A197+1</f>
        <v>83</v>
      </c>
      <c r="B201" s="64" t="str">
        <f>[1]!ArticleCode('Detail Verwarm San Vent'!Art_68.11.12.)</f>
        <v>68.11.12.</v>
      </c>
      <c r="C201" s="65" t="str">
        <f>[1]!ArticleDescription('Detail Verwarm San Vent'!Art_68.11.12.)</f>
        <v>Ø 125 mm</v>
      </c>
      <c r="D201" s="54" t="str">
        <f>[1]!ArticleMeasureType('Detail Verwarm San Vent'!Art_68.11.12.)</f>
        <v>FH</v>
      </c>
      <c r="E201" s="54" t="str">
        <f>[1]!ArticleMeasureUnit('Detail Verwarm San Vent'!Art_68.11.12.)</f>
        <v>m</v>
      </c>
      <c r="F201" s="73">
        <f>[1]!ArticleQuantity('Detail Verwarm San Vent'!Art_68.11.12.)</f>
        <v>7.49</v>
      </c>
      <c r="G201" s="54"/>
      <c r="H201" s="56"/>
      <c r="I201" s="56">
        <f>IF(RIGHT($D201,1)="-","************",ROUND(IF(NOT(ISNUMBER(G201)),IF(NOT(ISNUMBER(F201)),1,F201),G201)*H201,2))</f>
        <v>0</v>
      </c>
      <c r="J201" s="57"/>
      <c r="K201" s="58"/>
      <c r="L201" s="59"/>
      <c r="M201" s="54"/>
      <c r="N201" s="60"/>
      <c r="O201" s="56">
        <f t="shared" si="40"/>
        <v>0</v>
      </c>
      <c r="P201" s="61" t="str">
        <f t="shared" si="41"/>
        <v/>
      </c>
      <c r="Q201" s="62" t="str">
        <f t="shared" si="42"/>
        <v/>
      </c>
      <c r="R201" s="59"/>
      <c r="S201" s="54"/>
      <c r="T201" s="60"/>
      <c r="U201" s="56">
        <f t="shared" si="43"/>
        <v>0</v>
      </c>
      <c r="V201" s="61" t="str">
        <f t="shared" si="44"/>
        <v/>
      </c>
      <c r="W201" s="62" t="str">
        <f t="shared" si="45"/>
        <v/>
      </c>
      <c r="X201" s="59"/>
      <c r="Y201" s="54"/>
      <c r="Z201" s="60"/>
      <c r="AA201" s="56">
        <f t="shared" si="46"/>
        <v>0</v>
      </c>
      <c r="AB201" s="61" t="str">
        <f t="shared" si="47"/>
        <v/>
      </c>
      <c r="AC201" s="62" t="str">
        <f t="shared" si="48"/>
        <v/>
      </c>
    </row>
    <row r="202" spans="1:29">
      <c r="A202" s="63">
        <f>A201+1</f>
        <v>84</v>
      </c>
      <c r="B202" s="64" t="str">
        <f>[1]!ArticleCode('Detail Verwarm San Vent'!Art_68.11.13.)</f>
        <v>68.11.13.</v>
      </c>
      <c r="C202" s="65" t="str">
        <f>[1]!ArticleDescription('Detail Verwarm San Vent'!Art_68.11.13.)</f>
        <v>Ø 150mm</v>
      </c>
      <c r="D202" s="54" t="str">
        <f>[1]!ArticleMeasureType('Detail Verwarm San Vent'!Art_68.11.13.)</f>
        <v>FH</v>
      </c>
      <c r="E202" s="54" t="str">
        <f>[1]!ArticleMeasureUnit('Detail Verwarm San Vent'!Art_68.11.13.)</f>
        <v>m</v>
      </c>
      <c r="F202" s="73">
        <f>[1]!ArticleQuantity('Detail Verwarm San Vent'!Art_68.11.13.)</f>
        <v>3</v>
      </c>
      <c r="G202" s="54"/>
      <c r="H202" s="56"/>
      <c r="I202" s="56">
        <f>IF(RIGHT($D202,1)="-","************",ROUND(IF(NOT(ISNUMBER(G202)),IF(NOT(ISNUMBER(F202)),1,F202),G202)*H202,2))</f>
        <v>0</v>
      </c>
      <c r="J202" s="57"/>
      <c r="K202" s="58"/>
      <c r="L202" s="59"/>
      <c r="M202" s="54"/>
      <c r="N202" s="60"/>
      <c r="O202" s="56">
        <f t="shared" si="40"/>
        <v>0</v>
      </c>
      <c r="P202" s="61" t="str">
        <f t="shared" si="41"/>
        <v/>
      </c>
      <c r="Q202" s="62" t="str">
        <f t="shared" si="42"/>
        <v/>
      </c>
      <c r="R202" s="59"/>
      <c r="S202" s="54"/>
      <c r="T202" s="60"/>
      <c r="U202" s="56">
        <f t="shared" si="43"/>
        <v>0</v>
      </c>
      <c r="V202" s="61" t="str">
        <f t="shared" si="44"/>
        <v/>
      </c>
      <c r="W202" s="62" t="str">
        <f t="shared" si="45"/>
        <v/>
      </c>
      <c r="X202" s="59"/>
      <c r="Y202" s="54"/>
      <c r="Z202" s="60"/>
      <c r="AA202" s="56">
        <f t="shared" si="46"/>
        <v>0</v>
      </c>
      <c r="AB202" s="61" t="str">
        <f t="shared" si="47"/>
        <v/>
      </c>
      <c r="AC202" s="62" t="str">
        <f t="shared" si="48"/>
        <v/>
      </c>
    </row>
    <row r="203" spans="1:29">
      <c r="A203" s="63">
        <f>A202+1</f>
        <v>85</v>
      </c>
      <c r="B203" s="64" t="str">
        <f>[1]!ArticleCode('Detail Verwarm San Vent'!Art_68.11.14.)</f>
        <v>68.11.14.</v>
      </c>
      <c r="C203" s="65" t="str">
        <f>[1]!ArticleDescription('Detail Verwarm San Vent'!Art_68.11.14.)</f>
        <v>Ø 160mm</v>
      </c>
      <c r="D203" s="54" t="str">
        <f>[1]!ArticleMeasureType('Detail Verwarm San Vent'!Art_68.11.14.)</f>
        <v>FH</v>
      </c>
      <c r="E203" s="54" t="str">
        <f>[1]!ArticleMeasureUnit('Detail Verwarm San Vent'!Art_68.11.14.)</f>
        <v>m</v>
      </c>
      <c r="F203" s="73">
        <f>[1]!ArticleQuantity('Detail Verwarm San Vent'!Art_68.11.14.)</f>
        <v>0</v>
      </c>
      <c r="G203" s="54"/>
      <c r="H203" s="56"/>
      <c r="I203" s="56">
        <f>IF(RIGHT($D203,1)="-","************",ROUND(IF(NOT(ISNUMBER(G203)),IF(NOT(ISNUMBER(F203)),1,F203),G203)*H203,2))</f>
        <v>0</v>
      </c>
      <c r="J203" s="57"/>
      <c r="K203" s="58"/>
      <c r="L203" s="59"/>
      <c r="M203" s="54"/>
      <c r="N203" s="60"/>
      <c r="O203" s="56">
        <f t="shared" si="40"/>
        <v>0</v>
      </c>
      <c r="P203" s="61" t="str">
        <f t="shared" si="41"/>
        <v/>
      </c>
      <c r="Q203" s="62" t="str">
        <f t="shared" si="42"/>
        <v/>
      </c>
      <c r="R203" s="59"/>
      <c r="S203" s="54"/>
      <c r="T203" s="60"/>
      <c r="U203" s="56">
        <f t="shared" si="43"/>
        <v>0</v>
      </c>
      <c r="V203" s="61" t="str">
        <f t="shared" si="44"/>
        <v/>
      </c>
      <c r="W203" s="62" t="str">
        <f t="shared" si="45"/>
        <v/>
      </c>
      <c r="X203" s="59"/>
      <c r="Y203" s="54"/>
      <c r="Z203" s="60"/>
      <c r="AA203" s="56">
        <f t="shared" si="46"/>
        <v>0</v>
      </c>
      <c r="AB203" s="61" t="str">
        <f t="shared" si="47"/>
        <v/>
      </c>
      <c r="AC203" s="62" t="str">
        <f t="shared" si="48"/>
        <v/>
      </c>
    </row>
    <row r="204" spans="1:29">
      <c r="A204" s="63">
        <f>A203+1</f>
        <v>86</v>
      </c>
      <c r="B204" s="64" t="str">
        <f>[1]!ArticleCode('Detail Verwarm San Vent'!Art_68.13.)</f>
        <v>68.13.</v>
      </c>
      <c r="C204" s="65" t="str">
        <f>[1]!ArticleDescription('Detail Verwarm San Vent'!Art_68.13.)</f>
        <v xml:space="preserve">ventilatiekanalen - flexibele kanalen </v>
      </c>
      <c r="D204" s="54" t="str">
        <f>[1]!ArticleMeasureType('Detail Verwarm San Vent'!Art_68.13.)</f>
        <v>FH</v>
      </c>
      <c r="E204" s="54" t="str">
        <f>[1]!ArticleMeasureUnit('Detail Verwarm San Vent'!Art_68.13.)</f>
        <v>m</v>
      </c>
      <c r="F204" s="73">
        <f>[1]!ArticleQuantity('Detail Verwarm San Vent'!Art_68.13.)</f>
        <v>2</v>
      </c>
      <c r="G204" s="54"/>
      <c r="H204" s="56"/>
      <c r="I204" s="56">
        <f>IF(RIGHT($D204,1)="-","************",ROUND(IF(NOT(ISNUMBER(G204)),IF(NOT(ISNUMBER(F204)),1,F204),G204)*H204,2))</f>
        <v>0</v>
      </c>
      <c r="J204" s="57"/>
      <c r="K204" s="58"/>
      <c r="L204" s="59"/>
      <c r="M204" s="54"/>
      <c r="N204" s="60"/>
      <c r="O204" s="56">
        <f t="shared" si="40"/>
        <v>0</v>
      </c>
      <c r="P204" s="61" t="str">
        <f t="shared" si="41"/>
        <v/>
      </c>
      <c r="Q204" s="62" t="str">
        <f t="shared" si="42"/>
        <v/>
      </c>
      <c r="R204" s="59"/>
      <c r="S204" s="54"/>
      <c r="T204" s="60"/>
      <c r="U204" s="56">
        <f t="shared" si="43"/>
        <v>0</v>
      </c>
      <c r="V204" s="61" t="str">
        <f t="shared" si="44"/>
        <v/>
      </c>
      <c r="W204" s="62" t="str">
        <f t="shared" si="45"/>
        <v/>
      </c>
      <c r="X204" s="59"/>
      <c r="Y204" s="54"/>
      <c r="Z204" s="60"/>
      <c r="AA204" s="56">
        <f t="shared" si="46"/>
        <v>0</v>
      </c>
      <c r="AB204" s="61" t="str">
        <f t="shared" si="47"/>
        <v/>
      </c>
      <c r="AC204" s="62" t="str">
        <f t="shared" si="48"/>
        <v/>
      </c>
    </row>
    <row r="205" spans="1:29">
      <c r="A205" s="63">
        <f>A204+1</f>
        <v>87</v>
      </c>
      <c r="B205" s="64" t="str">
        <f>[1]!ArticleCode('Detail Verwarm San Vent'!Art_68.15.)</f>
        <v>68.15.</v>
      </c>
      <c r="C205" s="65" t="str">
        <f>[1]!ArticleDescription('Detail Verwarm San Vent'!Art_68.15.)</f>
        <v xml:space="preserve">ventilatiekanalen - ophanging en bevestiging </v>
      </c>
      <c r="D205" s="54" t="str">
        <f>[1]!ArticleMeasureType('Detail Verwarm San Vent'!Art_68.15.)</f>
        <v/>
      </c>
      <c r="E205" s="54" t="str">
        <f>[1]!ArticleMeasureUnit('Detail Verwarm San Vent'!Art_68.15.)</f>
        <v>PM</v>
      </c>
      <c r="F205" s="72" t="str">
        <f>[1]!ArticleQuantity('Detail Verwarm San Vent'!Art_68.15.)</f>
        <v/>
      </c>
      <c r="G205" s="54"/>
      <c r="H205" s="56"/>
      <c r="I205" s="56">
        <f>IF(RIGHT($D205,1)="-","************",ROUND(IF(NOT(ISNUMBER(G205)),IF(NOT(ISNUMBER(F205)),1,F205),G205)*H205,2))</f>
        <v>0</v>
      </c>
      <c r="J205" s="57"/>
      <c r="K205" s="58"/>
      <c r="L205" s="59"/>
      <c r="M205" s="54"/>
      <c r="N205" s="60"/>
      <c r="O205" s="56">
        <f t="shared" si="40"/>
        <v>0</v>
      </c>
      <c r="P205" s="61" t="str">
        <f t="shared" si="41"/>
        <v/>
      </c>
      <c r="Q205" s="62" t="str">
        <f t="shared" si="42"/>
        <v/>
      </c>
      <c r="R205" s="59"/>
      <c r="S205" s="54"/>
      <c r="T205" s="60"/>
      <c r="U205" s="56">
        <f t="shared" si="43"/>
        <v>0</v>
      </c>
      <c r="V205" s="61" t="str">
        <f t="shared" si="44"/>
        <v/>
      </c>
      <c r="W205" s="62" t="str">
        <f t="shared" si="45"/>
        <v/>
      </c>
      <c r="X205" s="59"/>
      <c r="Y205" s="54"/>
      <c r="Z205" s="60"/>
      <c r="AA205" s="56">
        <f t="shared" si="46"/>
        <v>0</v>
      </c>
      <c r="AB205" s="61" t="str">
        <f t="shared" si="47"/>
        <v/>
      </c>
      <c r="AC205" s="62" t="str">
        <f t="shared" si="48"/>
        <v/>
      </c>
    </row>
    <row r="206" spans="1:29">
      <c r="B206" s="64" t="str">
        <f>[1]!ArticleCode('Detail Verwarm San Vent'!Art_68.40.)</f>
        <v>68.40.</v>
      </c>
      <c r="C206" s="65" t="str">
        <f>[1]!ArticleDescription('Detail Verwarm San Vent'!Art_68.40.)</f>
        <v>ventilatoren – algemeen</v>
      </c>
      <c r="D206" s="54"/>
      <c r="E206" s="54"/>
      <c r="F206" s="54"/>
      <c r="G206" s="54"/>
      <c r="H206" s="56"/>
      <c r="I206" s="56"/>
      <c r="J206" s="57"/>
      <c r="K206" s="58"/>
      <c r="L206" s="59"/>
      <c r="M206" s="54"/>
      <c r="N206" s="60"/>
      <c r="O206" s="56">
        <f t="shared" si="40"/>
        <v>0</v>
      </c>
      <c r="P206" s="61" t="str">
        <f t="shared" si="41"/>
        <v/>
      </c>
      <c r="Q206" s="62" t="str">
        <f t="shared" si="42"/>
        <v/>
      </c>
      <c r="R206" s="59"/>
      <c r="S206" s="54"/>
      <c r="T206" s="60"/>
      <c r="U206" s="56">
        <f t="shared" si="43"/>
        <v>0</v>
      </c>
      <c r="V206" s="61" t="str">
        <f t="shared" si="44"/>
        <v/>
      </c>
      <c r="W206" s="62" t="str">
        <f t="shared" si="45"/>
        <v/>
      </c>
      <c r="X206" s="59"/>
      <c r="Y206" s="54"/>
      <c r="Z206" s="60"/>
      <c r="AA206" s="56">
        <f t="shared" si="46"/>
        <v>0</v>
      </c>
      <c r="AB206" s="61" t="str">
        <f t="shared" si="47"/>
        <v/>
      </c>
      <c r="AC206" s="62" t="str">
        <f t="shared" si="48"/>
        <v/>
      </c>
    </row>
    <row r="207" spans="1:29">
      <c r="A207" s="63">
        <f>A205+1</f>
        <v>88</v>
      </c>
      <c r="B207" s="64" t="str">
        <f>[1]!ArticleCode('Detail Verwarm San Vent'!Art_68.41.)</f>
        <v>68.41.</v>
      </c>
      <c r="C207" s="65" t="str">
        <f>[1]!ArticleDescription('Detail Verwarm San Vent'!Art_68.41.)</f>
        <v>ventilatoren - extractor 200m³/h</v>
      </c>
      <c r="D207" s="54" t="str">
        <f>[1]!ArticleMeasureType('Detail Verwarm San Vent'!Art_68.41.)</f>
        <v>FH</v>
      </c>
      <c r="E207" s="54" t="str">
        <f>[1]!ArticleMeasureUnit('Detail Verwarm San Vent'!Art_68.41.)</f>
        <v>st</v>
      </c>
      <c r="F207" s="72">
        <f>[1]!ArticleQuantity('Detail Verwarm San Vent'!Art_68.41.)</f>
        <v>1</v>
      </c>
      <c r="G207" s="54"/>
      <c r="H207" s="56"/>
      <c r="I207" s="56">
        <f>IF(RIGHT($D207,1)="-","************",ROUND(IF(NOT(ISNUMBER(G207)),IF(NOT(ISNUMBER(F207)),1,F207),G207)*H207,2))</f>
        <v>0</v>
      </c>
      <c r="J207" s="57"/>
      <c r="K207" s="58"/>
      <c r="L207" s="59"/>
      <c r="M207" s="54"/>
      <c r="N207" s="60"/>
      <c r="O207" s="56">
        <f t="shared" si="40"/>
        <v>0</v>
      </c>
      <c r="P207" s="61" t="str">
        <f t="shared" si="41"/>
        <v/>
      </c>
      <c r="Q207" s="62" t="str">
        <f t="shared" si="42"/>
        <v/>
      </c>
      <c r="R207" s="59"/>
      <c r="S207" s="54"/>
      <c r="T207" s="60"/>
      <c r="U207" s="56">
        <f t="shared" si="43"/>
        <v>0</v>
      </c>
      <c r="V207" s="61" t="str">
        <f t="shared" si="44"/>
        <v/>
      </c>
      <c r="W207" s="62" t="str">
        <f t="shared" si="45"/>
        <v/>
      </c>
      <c r="X207" s="59"/>
      <c r="Y207" s="54"/>
      <c r="Z207" s="60"/>
      <c r="AA207" s="56">
        <f t="shared" si="46"/>
        <v>0</v>
      </c>
      <c r="AB207" s="61" t="str">
        <f t="shared" si="47"/>
        <v/>
      </c>
      <c r="AC207" s="62" t="str">
        <f t="shared" si="48"/>
        <v/>
      </c>
    </row>
    <row r="208" spans="1:29">
      <c r="B208" s="64" t="str">
        <f>[1]!ArticleCode('Detail Verwarm San Vent'!Art_68.50.)</f>
        <v>68.50.</v>
      </c>
      <c r="C208" s="65" t="str">
        <f>[1]!ArticleDescription('Detail Verwarm San Vent'!Art_68.50.)</f>
        <v>dampkappen - algemeen</v>
      </c>
      <c r="D208" s="54"/>
      <c r="E208" s="54"/>
      <c r="F208" s="54"/>
      <c r="G208" s="54"/>
      <c r="H208" s="56"/>
      <c r="I208" s="56"/>
      <c r="J208" s="57"/>
      <c r="K208" s="58"/>
      <c r="L208" s="59"/>
      <c r="M208" s="54"/>
      <c r="N208" s="60"/>
      <c r="O208" s="56">
        <f t="shared" si="40"/>
        <v>0</v>
      </c>
      <c r="P208" s="61" t="str">
        <f t="shared" si="41"/>
        <v/>
      </c>
      <c r="Q208" s="62" t="str">
        <f t="shared" si="42"/>
        <v/>
      </c>
      <c r="R208" s="59"/>
      <c r="S208" s="54"/>
      <c r="T208" s="60"/>
      <c r="U208" s="56">
        <f t="shared" si="43"/>
        <v>0</v>
      </c>
      <c r="V208" s="61" t="str">
        <f t="shared" si="44"/>
        <v/>
      </c>
      <c r="W208" s="62" t="str">
        <f t="shared" si="45"/>
        <v/>
      </c>
      <c r="X208" s="59"/>
      <c r="Y208" s="54"/>
      <c r="Z208" s="60"/>
      <c r="AA208" s="56">
        <f t="shared" si="46"/>
        <v>0</v>
      </c>
      <c r="AB208" s="61" t="str">
        <f t="shared" si="47"/>
        <v/>
      </c>
      <c r="AC208" s="62" t="str">
        <f t="shared" si="48"/>
        <v/>
      </c>
    </row>
    <row r="209" spans="1:29">
      <c r="A209" s="63">
        <f>A207+1</f>
        <v>89</v>
      </c>
      <c r="B209" s="64" t="str">
        <f>[1]!ArticleCode('Detail Verwarm San Vent'!Art_68.51.)</f>
        <v>68.51.</v>
      </c>
      <c r="C209" s="65" t="str">
        <f>[1]!ArticleDescription('Detail Verwarm San Vent'!Art_68.51.)</f>
        <v xml:space="preserve">dampkappen - inbouwmotor </v>
      </c>
      <c r="D209" s="54" t="str">
        <f>[1]!ArticleMeasureType('Detail Verwarm San Vent'!Art_68.51.)</f>
        <v>FH</v>
      </c>
      <c r="E209" s="54" t="str">
        <f>[1]!ArticleMeasureUnit('Detail Verwarm San Vent'!Art_68.51.)</f>
        <v>st</v>
      </c>
      <c r="F209" s="72">
        <f>[1]!ArticleQuantity('Detail Verwarm San Vent'!Art_68.51.)</f>
        <v>1</v>
      </c>
      <c r="G209" s="54"/>
      <c r="H209" s="56"/>
      <c r="I209" s="56">
        <f>IF(RIGHT($D209,1)="-","************",ROUND(IF(NOT(ISNUMBER(G209)),IF(NOT(ISNUMBER(F209)),1,F209),G209)*H209,2))</f>
        <v>0</v>
      </c>
      <c r="J209" s="57"/>
      <c r="K209" s="58"/>
      <c r="L209" s="59"/>
      <c r="M209" s="54"/>
      <c r="N209" s="60"/>
      <c r="O209" s="56">
        <f t="shared" si="40"/>
        <v>0</v>
      </c>
      <c r="P209" s="61" t="str">
        <f t="shared" si="41"/>
        <v/>
      </c>
      <c r="Q209" s="62" t="str">
        <f t="shared" si="42"/>
        <v/>
      </c>
      <c r="R209" s="59"/>
      <c r="S209" s="54"/>
      <c r="T209" s="60"/>
      <c r="U209" s="56">
        <f t="shared" si="43"/>
        <v>0</v>
      </c>
      <c r="V209" s="61" t="str">
        <f t="shared" si="44"/>
        <v/>
      </c>
      <c r="W209" s="62" t="str">
        <f t="shared" si="45"/>
        <v/>
      </c>
      <c r="X209" s="59"/>
      <c r="Y209" s="54"/>
      <c r="Z209" s="60"/>
      <c r="AA209" s="56">
        <f t="shared" si="46"/>
        <v>0</v>
      </c>
      <c r="AB209" s="61" t="str">
        <f t="shared" si="47"/>
        <v/>
      </c>
      <c r="AC209" s="62" t="str">
        <f t="shared" si="48"/>
        <v/>
      </c>
    </row>
    <row r="210" spans="1:29">
      <c r="B210" s="64" t="str">
        <f>[1]!ArticleCode('Detail Verwarm San Vent'!Art_68.60.)</f>
        <v>68.60.</v>
      </c>
      <c r="C210" s="65" t="str">
        <f>[1]!ArticleDescription('Detail Verwarm San Vent'!Art_68.60.)</f>
        <v>ventilatieventielen en -roosters - algemeen</v>
      </c>
      <c r="D210" s="54"/>
      <c r="E210" s="54"/>
      <c r="F210" s="54"/>
      <c r="G210" s="54"/>
      <c r="H210" s="56"/>
      <c r="I210" s="56"/>
      <c r="J210" s="57"/>
      <c r="K210" s="58"/>
      <c r="L210" s="59"/>
      <c r="M210" s="54"/>
      <c r="N210" s="60"/>
      <c r="O210" s="56">
        <f t="shared" si="40"/>
        <v>0</v>
      </c>
      <c r="P210" s="61" t="str">
        <f t="shared" si="41"/>
        <v/>
      </c>
      <c r="Q210" s="62" t="str">
        <f t="shared" si="42"/>
        <v/>
      </c>
      <c r="R210" s="59"/>
      <c r="S210" s="54"/>
      <c r="T210" s="60"/>
      <c r="U210" s="56">
        <f t="shared" si="43"/>
        <v>0</v>
      </c>
      <c r="V210" s="61" t="str">
        <f t="shared" si="44"/>
        <v/>
      </c>
      <c r="W210" s="62" t="str">
        <f t="shared" si="45"/>
        <v/>
      </c>
      <c r="X210" s="59"/>
      <c r="Y210" s="54"/>
      <c r="Z210" s="60"/>
      <c r="AA210" s="56">
        <f t="shared" si="46"/>
        <v>0</v>
      </c>
      <c r="AB210" s="61" t="str">
        <f t="shared" si="47"/>
        <v/>
      </c>
      <c r="AC210" s="62" t="str">
        <f t="shared" si="48"/>
        <v/>
      </c>
    </row>
    <row r="211" spans="1:29">
      <c r="B211" s="64" t="str">
        <f>[1]!ArticleCode('Detail Verwarm San Vent'!Art_68.61.)</f>
        <v>68.61.</v>
      </c>
      <c r="C211" s="65" t="str">
        <f>[1]!ArticleDescription('Detail Verwarm San Vent'!Art_68.61.)</f>
        <v xml:space="preserve">ventilatiemonden - ventiel met regelbare conus </v>
      </c>
      <c r="D211" s="54"/>
      <c r="E211" s="54"/>
      <c r="F211" s="54"/>
      <c r="G211" s="54"/>
      <c r="H211" s="56"/>
      <c r="I211" s="56"/>
      <c r="J211" s="57"/>
      <c r="K211" s="58"/>
      <c r="L211" s="59"/>
      <c r="M211" s="54"/>
      <c r="N211" s="60"/>
      <c r="O211" s="56">
        <f t="shared" si="40"/>
        <v>0</v>
      </c>
      <c r="P211" s="61" t="str">
        <f t="shared" si="41"/>
        <v/>
      </c>
      <c r="Q211" s="62" t="str">
        <f t="shared" si="42"/>
        <v/>
      </c>
      <c r="R211" s="59"/>
      <c r="S211" s="54"/>
      <c r="T211" s="60"/>
      <c r="U211" s="56">
        <f t="shared" si="43"/>
        <v>0</v>
      </c>
      <c r="V211" s="61" t="str">
        <f t="shared" si="44"/>
        <v/>
      </c>
      <c r="W211" s="62" t="str">
        <f t="shared" si="45"/>
        <v/>
      </c>
      <c r="X211" s="59"/>
      <c r="Y211" s="54"/>
      <c r="Z211" s="60"/>
      <c r="AA211" s="56">
        <f t="shared" si="46"/>
        <v>0</v>
      </c>
      <c r="AB211" s="61" t="str">
        <f t="shared" si="47"/>
        <v/>
      </c>
      <c r="AC211" s="62" t="str">
        <f t="shared" si="48"/>
        <v/>
      </c>
    </row>
    <row r="212" spans="1:29">
      <c r="A212" s="63">
        <f>A209+1</f>
        <v>90</v>
      </c>
      <c r="B212" s="64" t="str">
        <f>[1]!ArticleCode('Detail Verwarm San Vent'!Art_68.61.11.)</f>
        <v>68.61.11.</v>
      </c>
      <c r="C212" s="65" t="str">
        <f>[1]!ArticleDescription('Detail Verwarm San Vent'!Art_68.61.11.)</f>
        <v>ventiel met regelbare conus – Ø 125 mm -75 m³/h</v>
      </c>
      <c r="D212" s="54" t="str">
        <f>[1]!ArticleMeasureType('Detail Verwarm San Vent'!Art_68.61.11.)</f>
        <v>FH</v>
      </c>
      <c r="E212" s="54" t="str">
        <f>[1]!ArticleMeasureUnit('Detail Verwarm San Vent'!Art_68.61.11.)</f>
        <v>st</v>
      </c>
      <c r="F212" s="72">
        <f>[1]!ArticleQuantity('Detail Verwarm San Vent'!Art_68.61.11.)</f>
        <v>1</v>
      </c>
      <c r="G212" s="54"/>
      <c r="H212" s="56"/>
      <c r="I212" s="56">
        <f>IF(RIGHT($D212,1)="-","************",ROUND(IF(NOT(ISNUMBER(G212)),IF(NOT(ISNUMBER(F212)),1,F212),G212)*H212,2))</f>
        <v>0</v>
      </c>
      <c r="J212" s="57"/>
      <c r="K212" s="58"/>
      <c r="L212" s="59"/>
      <c r="M212" s="54"/>
      <c r="N212" s="60"/>
      <c r="O212" s="56">
        <f t="shared" si="40"/>
        <v>0</v>
      </c>
      <c r="P212" s="61" t="str">
        <f t="shared" si="41"/>
        <v/>
      </c>
      <c r="Q212" s="62" t="str">
        <f t="shared" si="42"/>
        <v/>
      </c>
      <c r="R212" s="59"/>
      <c r="S212" s="54"/>
      <c r="T212" s="60"/>
      <c r="U212" s="56">
        <f t="shared" si="43"/>
        <v>0</v>
      </c>
      <c r="V212" s="61" t="str">
        <f t="shared" si="44"/>
        <v/>
      </c>
      <c r="W212" s="62" t="str">
        <f t="shared" si="45"/>
        <v/>
      </c>
      <c r="X212" s="59"/>
      <c r="Y212" s="54"/>
      <c r="Z212" s="60"/>
      <c r="AA212" s="56">
        <f t="shared" si="46"/>
        <v>0</v>
      </c>
      <c r="AB212" s="61" t="str">
        <f t="shared" si="47"/>
        <v/>
      </c>
      <c r="AC212" s="62" t="str">
        <f t="shared" si="48"/>
        <v/>
      </c>
    </row>
    <row r="213" spans="1:29">
      <c r="A213" s="63">
        <f>A212+1</f>
        <v>91</v>
      </c>
      <c r="B213" s="64" t="str">
        <f>[1]!ArticleCode('Detail Verwarm San Vent'!Art_68.61.12.)</f>
        <v>68.61.12.</v>
      </c>
      <c r="C213" s="65" t="str">
        <f>[1]!ArticleDescription('Detail Verwarm San Vent'!Art_68.61.12.)</f>
        <v>ventiel met regelbare conus – Ø 125 mm -75 m³/h</v>
      </c>
      <c r="D213" s="54" t="str">
        <f>[1]!ArticleMeasureType('Detail Verwarm San Vent'!Art_68.61.12.)</f>
        <v>FH</v>
      </c>
      <c r="E213" s="54" t="str">
        <f>[1]!ArticleMeasureUnit('Detail Verwarm San Vent'!Art_68.61.12.)</f>
        <v>st</v>
      </c>
      <c r="F213" s="72">
        <f>[1]!ArticleQuantity('Detail Verwarm San Vent'!Art_68.61.12.)</f>
        <v>2</v>
      </c>
      <c r="G213" s="54"/>
      <c r="H213" s="56"/>
      <c r="I213" s="56">
        <f>IF(RIGHT($D213,1)="-","************",ROUND(IF(NOT(ISNUMBER(G213)),IF(NOT(ISNUMBER(F213)),1,F213),G213)*H213,2))</f>
        <v>0</v>
      </c>
      <c r="J213" s="57"/>
      <c r="K213" s="58"/>
      <c r="L213" s="59"/>
      <c r="M213" s="54"/>
      <c r="N213" s="60"/>
      <c r="O213" s="56">
        <f t="shared" si="40"/>
        <v>0</v>
      </c>
      <c r="P213" s="61" t="str">
        <f t="shared" si="41"/>
        <v/>
      </c>
      <c r="Q213" s="62" t="str">
        <f t="shared" si="42"/>
        <v/>
      </c>
      <c r="R213" s="59"/>
      <c r="S213" s="54"/>
      <c r="T213" s="60"/>
      <c r="U213" s="56">
        <f t="shared" si="43"/>
        <v>0</v>
      </c>
      <c r="V213" s="61" t="str">
        <f t="shared" si="44"/>
        <v/>
      </c>
      <c r="W213" s="62" t="str">
        <f t="shared" si="45"/>
        <v/>
      </c>
      <c r="X213" s="59"/>
      <c r="Y213" s="54"/>
      <c r="Z213" s="60"/>
      <c r="AA213" s="56">
        <f t="shared" si="46"/>
        <v>0</v>
      </c>
      <c r="AB213" s="61" t="str">
        <f t="shared" si="47"/>
        <v/>
      </c>
      <c r="AC213" s="62" t="str">
        <f t="shared" si="48"/>
        <v/>
      </c>
    </row>
    <row r="214" spans="1:29">
      <c r="A214" s="63">
        <f>A213+1</f>
        <v>92</v>
      </c>
      <c r="B214" s="64" t="str">
        <f>[1]!ArticleCode('Detail Verwarm San Vent'!Art_68.61.13.)</f>
        <v>68.61.13.</v>
      </c>
      <c r="C214" s="65" t="str">
        <f>[1]!ArticleDescription('Detail Verwarm San Vent'!Art_68.61.13.)</f>
        <v>ventiel met regelbare conus – Ø 125 mm – 50 m³/h</v>
      </c>
      <c r="D214" s="54" t="str">
        <f>[1]!ArticleMeasureType('Detail Verwarm San Vent'!Art_68.61.13.)</f>
        <v>FH</v>
      </c>
      <c r="E214" s="54" t="str">
        <f>[1]!ArticleMeasureUnit('Detail Verwarm San Vent'!Art_68.61.13.)</f>
        <v>st</v>
      </c>
      <c r="F214" s="72">
        <f>[1]!ArticleQuantity('Detail Verwarm San Vent'!Art_68.61.13.)</f>
        <v>1</v>
      </c>
      <c r="G214" s="54"/>
      <c r="H214" s="56"/>
      <c r="I214" s="56">
        <f>IF(RIGHT($D214,1)="-","************",ROUND(IF(NOT(ISNUMBER(G214)),IF(NOT(ISNUMBER(F214)),1,F214),G214)*H214,2))</f>
        <v>0</v>
      </c>
      <c r="J214" s="57"/>
      <c r="K214" s="58"/>
      <c r="L214" s="59"/>
      <c r="M214" s="54"/>
      <c r="N214" s="60"/>
      <c r="O214" s="56">
        <f t="shared" si="40"/>
        <v>0</v>
      </c>
      <c r="P214" s="61" t="str">
        <f t="shared" si="41"/>
        <v/>
      </c>
      <c r="Q214" s="62" t="str">
        <f t="shared" si="42"/>
        <v/>
      </c>
      <c r="R214" s="59"/>
      <c r="S214" s="54"/>
      <c r="T214" s="60"/>
      <c r="U214" s="56">
        <f t="shared" si="43"/>
        <v>0</v>
      </c>
      <c r="V214" s="61" t="str">
        <f t="shared" si="44"/>
        <v/>
      </c>
      <c r="W214" s="62" t="str">
        <f t="shared" si="45"/>
        <v/>
      </c>
      <c r="X214" s="59"/>
      <c r="Y214" s="54"/>
      <c r="Z214" s="60"/>
      <c r="AA214" s="56">
        <f t="shared" si="46"/>
        <v>0</v>
      </c>
      <c r="AB214" s="61" t="str">
        <f t="shared" si="47"/>
        <v/>
      </c>
      <c r="AC214" s="62" t="str">
        <f t="shared" si="48"/>
        <v/>
      </c>
    </row>
    <row r="215" spans="1:29">
      <c r="B215" s="64" t="str">
        <f>[1]!ArticleCode('Detail Verwarm San Vent'!Art_68.65.)</f>
        <v>68.65.</v>
      </c>
      <c r="C215" s="65" t="str">
        <f>[1]!ArticleDescription('Detail Verwarm San Vent'!Art_68.65.)</f>
        <v>ventilatiemonden - dakventielen (plaatsing in begrepen in dakwerken)</v>
      </c>
      <c r="D215" s="54"/>
      <c r="E215" s="54"/>
      <c r="F215" s="54"/>
      <c r="G215" s="54"/>
      <c r="H215" s="56"/>
      <c r="I215" s="56"/>
      <c r="J215" s="57"/>
      <c r="K215" s="58"/>
      <c r="L215" s="59"/>
      <c r="M215" s="54"/>
      <c r="N215" s="60"/>
      <c r="O215" s="56">
        <f t="shared" si="40"/>
        <v>0</v>
      </c>
      <c r="P215" s="61" t="str">
        <f t="shared" si="41"/>
        <v/>
      </c>
      <c r="Q215" s="62" t="str">
        <f t="shared" si="42"/>
        <v/>
      </c>
      <c r="R215" s="59"/>
      <c r="S215" s="54"/>
      <c r="T215" s="60"/>
      <c r="U215" s="56">
        <f t="shared" si="43"/>
        <v>0</v>
      </c>
      <c r="V215" s="61" t="str">
        <f t="shared" si="44"/>
        <v/>
      </c>
      <c r="W215" s="62" t="str">
        <f t="shared" si="45"/>
        <v/>
      </c>
      <c r="X215" s="59"/>
      <c r="Y215" s="54"/>
      <c r="Z215" s="60"/>
      <c r="AA215" s="56">
        <f t="shared" si="46"/>
        <v>0</v>
      </c>
      <c r="AB215" s="61" t="str">
        <f t="shared" si="47"/>
        <v/>
      </c>
      <c r="AC215" s="62" t="str">
        <f t="shared" si="48"/>
        <v/>
      </c>
    </row>
    <row r="216" spans="1:29">
      <c r="A216" s="63">
        <f>A214+1</f>
        <v>93</v>
      </c>
      <c r="B216" s="64" t="str">
        <f>[1]!ArticleCode('Detail Verwarm San Vent'!Art_68.65.10.)</f>
        <v>68.65.10.</v>
      </c>
      <c r="C216" s="65" t="str">
        <f>[1]!ArticleDescription('Detail Verwarm San Vent'!Art_68.65.10.)</f>
        <v>ventilatiemonden – dakventielen standaard</v>
      </c>
      <c r="D216" s="54" t="str">
        <f>[1]!ArticleMeasureType('Detail Verwarm San Vent'!Art_68.65.10.)</f>
        <v>FH</v>
      </c>
      <c r="E216" s="54" t="str">
        <f>[1]!ArticleMeasureUnit('Detail Verwarm San Vent'!Art_68.65.10.)</f>
        <v>st</v>
      </c>
      <c r="F216" s="72">
        <f>[1]!ArticleQuantity('Detail Verwarm San Vent'!Art_68.65.10.)</f>
        <v>4</v>
      </c>
      <c r="G216" s="54"/>
      <c r="H216" s="56"/>
      <c r="I216" s="56">
        <f>IF(RIGHT($D216,1)="-","************",ROUND(IF(NOT(ISNUMBER(G216)),IF(NOT(ISNUMBER(F216)),1,F216),G216)*H216,2))</f>
        <v>0</v>
      </c>
      <c r="J216" s="57"/>
      <c r="K216" s="58"/>
      <c r="L216" s="59"/>
      <c r="M216" s="54"/>
      <c r="N216" s="60"/>
      <c r="O216" s="56">
        <f t="shared" si="40"/>
        <v>0</v>
      </c>
      <c r="P216" s="61" t="str">
        <f t="shared" si="41"/>
        <v/>
      </c>
      <c r="Q216" s="62" t="str">
        <f t="shared" si="42"/>
        <v/>
      </c>
      <c r="R216" s="59"/>
      <c r="S216" s="54"/>
      <c r="T216" s="60"/>
      <c r="U216" s="56">
        <f t="shared" si="43"/>
        <v>0</v>
      </c>
      <c r="V216" s="61" t="str">
        <f t="shared" si="44"/>
        <v/>
      </c>
      <c r="W216" s="62" t="str">
        <f t="shared" si="45"/>
        <v/>
      </c>
      <c r="X216" s="59"/>
      <c r="Y216" s="54"/>
      <c r="Z216" s="60"/>
      <c r="AA216" s="56">
        <f t="shared" si="46"/>
        <v>0</v>
      </c>
      <c r="AB216" s="61" t="str">
        <f t="shared" si="47"/>
        <v/>
      </c>
      <c r="AC216" s="62" t="str">
        <f t="shared" si="48"/>
        <v/>
      </c>
    </row>
    <row r="217" spans="1:29">
      <c r="B217" s="66"/>
      <c r="C217" s="67"/>
      <c r="D217" s="68"/>
      <c r="E217" s="67"/>
      <c r="F217" s="67"/>
      <c r="G217" s="67"/>
      <c r="H217" s="69"/>
      <c r="I217" s="69"/>
      <c r="J217" s="70">
        <f>SUBTOTAL(9,I193:I216)</f>
        <v>0</v>
      </c>
      <c r="K217" s="58"/>
      <c r="L217" s="59"/>
      <c r="M217" s="54"/>
      <c r="N217" s="60"/>
      <c r="O217" s="56">
        <f t="shared" si="40"/>
        <v>0</v>
      </c>
      <c r="P217" s="61" t="str">
        <f t="shared" si="41"/>
        <v/>
      </c>
      <c r="Q217" s="62" t="str">
        <f t="shared" si="42"/>
        <v/>
      </c>
      <c r="R217" s="59"/>
      <c r="S217" s="54"/>
      <c r="T217" s="60"/>
      <c r="U217" s="56">
        <f t="shared" si="43"/>
        <v>0</v>
      </c>
      <c r="V217" s="61" t="str">
        <f t="shared" si="44"/>
        <v/>
      </c>
      <c r="W217" s="62" t="str">
        <f t="shared" si="45"/>
        <v/>
      </c>
      <c r="X217" s="59"/>
      <c r="Y217" s="54"/>
      <c r="Z217" s="60"/>
      <c r="AA217" s="56">
        <f t="shared" si="46"/>
        <v>0</v>
      </c>
      <c r="AB217" s="61" t="str">
        <f t="shared" si="47"/>
        <v/>
      </c>
      <c r="AC217" s="62" t="str">
        <f t="shared" si="48"/>
        <v/>
      </c>
    </row>
    <row r="218" spans="1:29">
      <c r="B218" s="71"/>
      <c r="C218" s="54"/>
      <c r="D218" s="54"/>
      <c r="E218" s="54"/>
      <c r="F218" s="54"/>
      <c r="G218" s="54"/>
      <c r="H218" s="56"/>
      <c r="I218" s="56"/>
      <c r="J218" s="57"/>
      <c r="K218" s="58"/>
      <c r="L218" s="59"/>
      <c r="M218" s="54"/>
      <c r="N218" s="60"/>
      <c r="O218" s="56">
        <f t="shared" si="40"/>
        <v>0</v>
      </c>
      <c r="P218" s="61" t="str">
        <f t="shared" si="41"/>
        <v/>
      </c>
      <c r="Q218" s="62" t="str">
        <f t="shared" si="42"/>
        <v/>
      </c>
      <c r="R218" s="59"/>
      <c r="S218" s="54"/>
      <c r="T218" s="60"/>
      <c r="U218" s="56">
        <f t="shared" si="43"/>
        <v>0</v>
      </c>
      <c r="V218" s="61" t="str">
        <f t="shared" si="44"/>
        <v/>
      </c>
      <c r="W218" s="62" t="str">
        <f t="shared" si="45"/>
        <v/>
      </c>
      <c r="X218" s="59"/>
      <c r="Y218" s="54"/>
      <c r="Z218" s="60"/>
      <c r="AA218" s="56">
        <f t="shared" si="46"/>
        <v>0</v>
      </c>
      <c r="AB218" s="61" t="str">
        <f t="shared" si="47"/>
        <v/>
      </c>
      <c r="AC218" s="62" t="str">
        <f t="shared" si="48"/>
        <v/>
      </c>
    </row>
    <row r="219" spans="1:29">
      <c r="B219" s="53" t="s">
        <v>471</v>
      </c>
      <c r="C219" s="54"/>
      <c r="D219" s="55"/>
      <c r="E219" s="54"/>
      <c r="F219" s="54"/>
      <c r="G219" s="54"/>
      <c r="H219" s="56"/>
      <c r="I219" s="56"/>
      <c r="J219" s="57"/>
      <c r="K219" s="58"/>
      <c r="L219" s="59"/>
      <c r="M219" s="54"/>
      <c r="N219" s="60"/>
      <c r="O219" s="56">
        <f t="shared" si="40"/>
        <v>0</v>
      </c>
      <c r="P219" s="61" t="str">
        <f t="shared" si="41"/>
        <v/>
      </c>
      <c r="Q219" s="62" t="str">
        <f t="shared" si="42"/>
        <v/>
      </c>
      <c r="R219" s="59"/>
      <c r="S219" s="54"/>
      <c r="T219" s="60"/>
      <c r="U219" s="56">
        <f t="shared" si="43"/>
        <v>0</v>
      </c>
      <c r="V219" s="61" t="str">
        <f t="shared" si="44"/>
        <v/>
      </c>
      <c r="W219" s="62" t="str">
        <f t="shared" si="45"/>
        <v/>
      </c>
      <c r="X219" s="59"/>
      <c r="Y219" s="54"/>
      <c r="Z219" s="60"/>
      <c r="AA219" s="56">
        <f t="shared" si="46"/>
        <v>0</v>
      </c>
      <c r="AB219" s="61" t="str">
        <f t="shared" si="47"/>
        <v/>
      </c>
      <c r="AC219" s="62" t="str">
        <f t="shared" si="48"/>
        <v/>
      </c>
    </row>
    <row r="220" spans="1:29">
      <c r="B220" s="64" t="str">
        <f>[1]!ArticleCode('Detail Verwarm San Vent'!Art_69.)</f>
        <v>69.</v>
      </c>
      <c r="C220" s="65" t="str">
        <f>[1]!ArticleDescription('Detail Verwarm San Vent'!Art_69.)</f>
        <v>OPBOUWKANALEN ROOKGAS EN VENTILATIE</v>
      </c>
      <c r="D220" s="54"/>
      <c r="E220" s="54"/>
      <c r="F220" s="54"/>
      <c r="G220" s="54"/>
      <c r="H220" s="56"/>
      <c r="I220" s="56"/>
      <c r="J220" s="57"/>
      <c r="K220" s="58"/>
      <c r="L220" s="59"/>
      <c r="M220" s="54"/>
      <c r="N220" s="60"/>
      <c r="O220" s="56">
        <f t="shared" si="40"/>
        <v>0</v>
      </c>
      <c r="P220" s="61" t="str">
        <f t="shared" si="41"/>
        <v/>
      </c>
      <c r="Q220" s="62" t="str">
        <f t="shared" si="42"/>
        <v/>
      </c>
      <c r="R220" s="59"/>
      <c r="S220" s="54"/>
      <c r="T220" s="60"/>
      <c r="U220" s="56">
        <f t="shared" si="43"/>
        <v>0</v>
      </c>
      <c r="V220" s="61" t="str">
        <f t="shared" si="44"/>
        <v/>
      </c>
      <c r="W220" s="62" t="str">
        <f t="shared" si="45"/>
        <v/>
      </c>
      <c r="X220" s="59"/>
      <c r="Y220" s="54"/>
      <c r="Z220" s="60"/>
      <c r="AA220" s="56">
        <f t="shared" si="46"/>
        <v>0</v>
      </c>
      <c r="AB220" s="61" t="str">
        <f t="shared" si="47"/>
        <v/>
      </c>
      <c r="AC220" s="62" t="str">
        <f t="shared" si="48"/>
        <v/>
      </c>
    </row>
    <row r="221" spans="1:29">
      <c r="B221" s="64" t="str">
        <f>[1]!ArticleCode('Detail Verwarm San Vent'!Art_69.00.)</f>
        <v>69.00.</v>
      </c>
      <c r="C221" s="65" t="str">
        <f>[1]!ArticleDescription('Detail Verwarm San Vent'!Art_69.00.)</f>
        <v>opbouwkanalen rookgas en ventilatie – algemeen</v>
      </c>
      <c r="D221" s="54"/>
      <c r="E221" s="54"/>
      <c r="F221" s="54"/>
      <c r="G221" s="54"/>
      <c r="H221" s="56"/>
      <c r="I221" s="56"/>
      <c r="J221" s="57"/>
      <c r="K221" s="58"/>
      <c r="L221" s="59"/>
      <c r="M221" s="54"/>
      <c r="N221" s="60"/>
      <c r="O221" s="56">
        <f t="shared" si="40"/>
        <v>0</v>
      </c>
      <c r="P221" s="61" t="str">
        <f t="shared" si="41"/>
        <v/>
      </c>
      <c r="Q221" s="62" t="str">
        <f t="shared" si="42"/>
        <v/>
      </c>
      <c r="R221" s="59"/>
      <c r="S221" s="54"/>
      <c r="T221" s="60"/>
      <c r="U221" s="56">
        <f t="shared" si="43"/>
        <v>0</v>
      </c>
      <c r="V221" s="61" t="str">
        <f t="shared" si="44"/>
        <v/>
      </c>
      <c r="W221" s="62" t="str">
        <f t="shared" si="45"/>
        <v/>
      </c>
      <c r="X221" s="59"/>
      <c r="Y221" s="54"/>
      <c r="Z221" s="60"/>
      <c r="AA221" s="56">
        <f t="shared" si="46"/>
        <v>0</v>
      </c>
      <c r="AB221" s="61" t="str">
        <f t="shared" si="47"/>
        <v/>
      </c>
      <c r="AC221" s="62" t="str">
        <f t="shared" si="48"/>
        <v/>
      </c>
    </row>
    <row r="222" spans="1:29">
      <c r="B222" s="64" t="str">
        <f>[1]!ArticleCode('Detail Verwarm San Vent'!Art_69.10.)</f>
        <v>69.10.</v>
      </c>
      <c r="C222" s="65" t="str">
        <f>[1]!ArticleDescription('Detail Verwarm San Vent'!Art_69.10.)</f>
        <v>schoorstenen - algemeen</v>
      </c>
      <c r="D222" s="54"/>
      <c r="E222" s="54"/>
      <c r="F222" s="54"/>
      <c r="G222" s="54"/>
      <c r="H222" s="56"/>
      <c r="I222" s="56"/>
      <c r="J222" s="57"/>
      <c r="K222" s="58"/>
      <c r="L222" s="59"/>
      <c r="M222" s="54"/>
      <c r="N222" s="60"/>
      <c r="O222" s="56">
        <f t="shared" si="40"/>
        <v>0</v>
      </c>
      <c r="P222" s="61" t="str">
        <f t="shared" si="41"/>
        <v/>
      </c>
      <c r="Q222" s="62" t="str">
        <f t="shared" si="42"/>
        <v/>
      </c>
      <c r="R222" s="59"/>
      <c r="S222" s="54"/>
      <c r="T222" s="60"/>
      <c r="U222" s="56">
        <f t="shared" si="43"/>
        <v>0</v>
      </c>
      <c r="V222" s="61" t="str">
        <f t="shared" si="44"/>
        <v/>
      </c>
      <c r="W222" s="62" t="str">
        <f t="shared" si="45"/>
        <v/>
      </c>
      <c r="X222" s="59"/>
      <c r="Y222" s="54"/>
      <c r="Z222" s="60"/>
      <c r="AA222" s="56">
        <f t="shared" si="46"/>
        <v>0</v>
      </c>
      <c r="AB222" s="61" t="str">
        <f t="shared" si="47"/>
        <v/>
      </c>
      <c r="AC222" s="62" t="str">
        <f t="shared" si="48"/>
        <v/>
      </c>
    </row>
    <row r="223" spans="1:29">
      <c r="B223" s="64" t="str">
        <f>[1]!ArticleCode('Detail Verwarm San Vent'!Art_69.12.)</f>
        <v>69.12.</v>
      </c>
      <c r="C223" s="65" t="str">
        <f>[1]!ArticleDescription('Detail Verwarm San Vent'!Art_69.12.)</f>
        <v>schoorstenen – aluminium</v>
      </c>
      <c r="D223" s="54"/>
      <c r="E223" s="54"/>
      <c r="F223" s="54"/>
      <c r="G223" s="54"/>
      <c r="H223" s="56"/>
      <c r="I223" s="56"/>
      <c r="J223" s="57"/>
      <c r="K223" s="58"/>
      <c r="L223" s="59"/>
      <c r="M223" s="54"/>
      <c r="N223" s="60"/>
      <c r="O223" s="56">
        <f t="shared" si="40"/>
        <v>0</v>
      </c>
      <c r="P223" s="61" t="str">
        <f t="shared" si="41"/>
        <v/>
      </c>
      <c r="Q223" s="62" t="str">
        <f t="shared" si="42"/>
        <v/>
      </c>
      <c r="R223" s="59"/>
      <c r="S223" s="54"/>
      <c r="T223" s="60"/>
      <c r="U223" s="56">
        <f t="shared" si="43"/>
        <v>0</v>
      </c>
      <c r="V223" s="61" t="str">
        <f t="shared" si="44"/>
        <v/>
      </c>
      <c r="W223" s="62" t="str">
        <f t="shared" si="45"/>
        <v/>
      </c>
      <c r="X223" s="59"/>
      <c r="Y223" s="54"/>
      <c r="Z223" s="60"/>
      <c r="AA223" s="56">
        <f t="shared" si="46"/>
        <v>0</v>
      </c>
      <c r="AB223" s="61" t="str">
        <f t="shared" si="47"/>
        <v/>
      </c>
      <c r="AC223" s="62" t="str">
        <f t="shared" si="48"/>
        <v/>
      </c>
    </row>
    <row r="224" spans="1:29">
      <c r="A224" s="63">
        <f>A216+1</f>
        <v>94</v>
      </c>
      <c r="B224" s="64" t="str">
        <f>[1]!ArticleCode('Detail Verwarm San Vent'!Art_69.12.20.)</f>
        <v>69.12.20.</v>
      </c>
      <c r="C224" s="65" t="str">
        <f>[1]!ArticleDescription('Detail Verwarm San Vent'!Art_69.12.20.)</f>
        <v xml:space="preserve">	schoorstenen – aluminium/concentrisch - recuperatie</v>
      </c>
      <c r="D224" s="54" t="str">
        <f>[1]!ArticleMeasureType('Detail Verwarm San Vent'!Art_69.12.20.)</f>
        <v>FH</v>
      </c>
      <c r="E224" s="54" t="str">
        <f>[1]!ArticleMeasureUnit('Detail Verwarm San Vent'!Art_69.12.20.)</f>
        <v>m</v>
      </c>
      <c r="F224" s="73">
        <f>[1]!ArticleQuantity('Detail Verwarm San Vent'!Art_69.12.20.)</f>
        <v>3</v>
      </c>
      <c r="G224" s="54"/>
      <c r="H224" s="56"/>
      <c r="I224" s="56">
        <f>IF(RIGHT($D224,1)="-","************",ROUND(IF(NOT(ISNUMBER(G224)),IF(NOT(ISNUMBER(F224)),1,F224),G224)*H224,2))</f>
        <v>0</v>
      </c>
      <c r="J224" s="57"/>
      <c r="K224" s="58"/>
      <c r="L224" s="59"/>
      <c r="M224" s="54"/>
      <c r="N224" s="60"/>
      <c r="O224" s="56">
        <f t="shared" si="40"/>
        <v>0</v>
      </c>
      <c r="P224" s="61" t="str">
        <f t="shared" si="41"/>
        <v/>
      </c>
      <c r="Q224" s="62" t="str">
        <f t="shared" si="42"/>
        <v/>
      </c>
      <c r="R224" s="59"/>
      <c r="S224" s="54"/>
      <c r="T224" s="60"/>
      <c r="U224" s="56">
        <f t="shared" si="43"/>
        <v>0</v>
      </c>
      <c r="V224" s="61" t="str">
        <f t="shared" si="44"/>
        <v/>
      </c>
      <c r="W224" s="62" t="str">
        <f t="shared" si="45"/>
        <v/>
      </c>
      <c r="X224" s="59"/>
      <c r="Y224" s="54"/>
      <c r="Z224" s="60"/>
      <c r="AA224" s="56">
        <f t="shared" si="46"/>
        <v>0</v>
      </c>
      <c r="AB224" s="61" t="str">
        <f t="shared" si="47"/>
        <v/>
      </c>
      <c r="AC224" s="62" t="str">
        <f t="shared" si="48"/>
        <v/>
      </c>
    </row>
    <row r="225" spans="1:29">
      <c r="B225" s="64" t="str">
        <f>[1]!ArticleCode('Detail Verwarm San Vent'!Art_69.20.)</f>
        <v>69.20.</v>
      </c>
      <c r="C225" s="65" t="str">
        <f>[1]!ArticleDescription('Detail Verwarm San Vent'!Art_69.20.)</f>
        <v>dakdoorgang - algemeen</v>
      </c>
      <c r="D225" s="54"/>
      <c r="E225" s="54"/>
      <c r="F225" s="54"/>
      <c r="G225" s="54"/>
      <c r="H225" s="56"/>
      <c r="I225" s="56"/>
      <c r="J225" s="57"/>
      <c r="K225" s="58"/>
      <c r="L225" s="59"/>
      <c r="M225" s="54"/>
      <c r="N225" s="60"/>
      <c r="O225" s="56">
        <f t="shared" si="40"/>
        <v>0</v>
      </c>
      <c r="P225" s="61" t="str">
        <f t="shared" si="41"/>
        <v/>
      </c>
      <c r="Q225" s="62" t="str">
        <f t="shared" si="42"/>
        <v/>
      </c>
      <c r="R225" s="59"/>
      <c r="S225" s="54"/>
      <c r="T225" s="60"/>
      <c r="U225" s="56">
        <f t="shared" si="43"/>
        <v>0</v>
      </c>
      <c r="V225" s="61" t="str">
        <f t="shared" si="44"/>
        <v/>
      </c>
      <c r="W225" s="62" t="str">
        <f t="shared" si="45"/>
        <v/>
      </c>
      <c r="X225" s="59"/>
      <c r="Y225" s="54"/>
      <c r="Z225" s="60"/>
      <c r="AA225" s="56">
        <f t="shared" si="46"/>
        <v>0</v>
      </c>
      <c r="AB225" s="61" t="str">
        <f t="shared" si="47"/>
        <v/>
      </c>
      <c r="AC225" s="62" t="str">
        <f t="shared" si="48"/>
        <v/>
      </c>
    </row>
    <row r="226" spans="1:29">
      <c r="A226" s="63">
        <f>A224+1</f>
        <v>95</v>
      </c>
      <c r="B226" s="64" t="str">
        <f>[1]!ArticleCode('Detail Verwarm San Vent'!Art_69.21.)</f>
        <v>69.21.</v>
      </c>
      <c r="C226" s="65" t="str">
        <f>[1]!ArticleDescription('Detail Verwarm San Vent'!Art_69.21.)</f>
        <v xml:space="preserve">dakdoorgang - enkelvoudig </v>
      </c>
      <c r="D226" s="54" t="str">
        <f>[1]!ArticleMeasureType('Detail Verwarm San Vent'!Art_69.21.)</f>
        <v>FH</v>
      </c>
      <c r="E226" s="54" t="str">
        <f>[1]!ArticleMeasureUnit('Detail Verwarm San Vent'!Art_69.21.)</f>
        <v>st</v>
      </c>
      <c r="F226" s="72">
        <f>[1]!ArticleQuantity('Detail Verwarm San Vent'!Art_69.21.)</f>
        <v>1</v>
      </c>
      <c r="G226" s="54"/>
      <c r="H226" s="56"/>
      <c r="I226" s="56">
        <f>IF(RIGHT($D226,1)="-","************",ROUND(IF(NOT(ISNUMBER(G226)),IF(NOT(ISNUMBER(F226)),1,F226),G226)*H226,2))</f>
        <v>0</v>
      </c>
      <c r="J226" s="57"/>
      <c r="K226" s="58"/>
      <c r="L226" s="59"/>
      <c r="M226" s="54"/>
      <c r="N226" s="60"/>
      <c r="O226" s="56">
        <f t="shared" si="40"/>
        <v>0</v>
      </c>
      <c r="P226" s="61" t="str">
        <f t="shared" si="41"/>
        <v/>
      </c>
      <c r="Q226" s="62" t="str">
        <f t="shared" si="42"/>
        <v/>
      </c>
      <c r="R226" s="59"/>
      <c r="S226" s="54"/>
      <c r="T226" s="60"/>
      <c r="U226" s="56">
        <f t="shared" si="43"/>
        <v>0</v>
      </c>
      <c r="V226" s="61" t="str">
        <f t="shared" si="44"/>
        <v/>
      </c>
      <c r="W226" s="62" t="str">
        <f t="shared" si="45"/>
        <v/>
      </c>
      <c r="X226" s="59"/>
      <c r="Y226" s="54"/>
      <c r="Z226" s="60"/>
      <c r="AA226" s="56">
        <f t="shared" si="46"/>
        <v>0</v>
      </c>
      <c r="AB226" s="61" t="str">
        <f t="shared" si="47"/>
        <v/>
      </c>
      <c r="AC226" s="62" t="str">
        <f t="shared" si="48"/>
        <v/>
      </c>
    </row>
    <row r="227" spans="1:29">
      <c r="B227" s="66"/>
      <c r="C227" s="67"/>
      <c r="D227" s="68"/>
      <c r="E227" s="67"/>
      <c r="F227" s="67"/>
      <c r="G227" s="67"/>
      <c r="H227" s="69"/>
      <c r="I227" s="69"/>
      <c r="J227" s="70">
        <f>SUBTOTAL(9,I220:I226)</f>
        <v>0</v>
      </c>
      <c r="K227" s="58"/>
      <c r="L227" s="74"/>
      <c r="M227" s="75"/>
      <c r="N227" s="76"/>
      <c r="O227" s="77">
        <f t="shared" si="40"/>
        <v>0</v>
      </c>
      <c r="P227" s="78" t="str">
        <f t="shared" si="41"/>
        <v/>
      </c>
      <c r="Q227" s="79" t="str">
        <f t="shared" si="42"/>
        <v/>
      </c>
      <c r="R227" s="74"/>
      <c r="S227" s="75"/>
      <c r="T227" s="76"/>
      <c r="U227" s="77">
        <f t="shared" si="43"/>
        <v>0</v>
      </c>
      <c r="V227" s="78" t="str">
        <f t="shared" si="44"/>
        <v/>
      </c>
      <c r="W227" s="79" t="str">
        <f t="shared" si="45"/>
        <v/>
      </c>
      <c r="X227" s="74"/>
      <c r="Y227" s="75"/>
      <c r="Z227" s="76"/>
      <c r="AA227" s="77">
        <f t="shared" si="46"/>
        <v>0</v>
      </c>
      <c r="AB227" s="78" t="str">
        <f t="shared" si="47"/>
        <v/>
      </c>
      <c r="AC227" s="79" t="str">
        <f t="shared" si="48"/>
        <v/>
      </c>
    </row>
    <row r="228" spans="1:29">
      <c r="A228" s="80"/>
      <c r="B228" s="80"/>
      <c r="C228" s="80"/>
      <c r="D228" s="80"/>
      <c r="E228" s="80"/>
      <c r="F228" s="81"/>
      <c r="G228" s="82" t="s">
        <v>457</v>
      </c>
      <c r="H228" s="83"/>
      <c r="I228" s="84">
        <f>SUM(I$10:I227)</f>
        <v>0</v>
      </c>
      <c r="J228" s="85">
        <f>SUM(J$10:J227)</f>
        <v>0</v>
      </c>
      <c r="K228" s="86"/>
      <c r="L228" s="37"/>
      <c r="M228" s="37"/>
      <c r="N228" s="37"/>
      <c r="O228" s="37">
        <f>SUM(O$9:O227)</f>
        <v>0</v>
      </c>
      <c r="P228" s="37"/>
      <c r="Q228" s="37"/>
      <c r="R228" s="37"/>
      <c r="S228" s="37"/>
      <c r="T228" s="37"/>
      <c r="U228" s="37">
        <f>SUM(U$9:U227)</f>
        <v>0</v>
      </c>
      <c r="V228" s="37"/>
      <c r="W228" s="37"/>
      <c r="X228" s="37"/>
      <c r="Y228" s="37"/>
      <c r="Z228" s="37"/>
      <c r="AA228" s="37">
        <f>SUM(AA$9:AA227)</f>
        <v>0</v>
      </c>
      <c r="AB228" s="37"/>
      <c r="AC228" s="37"/>
    </row>
    <row r="229" spans="1:29">
      <c r="A229" s="87"/>
      <c r="B229" s="87"/>
      <c r="C229" s="87"/>
      <c r="D229" s="87"/>
      <c r="E229" s="87"/>
      <c r="F229" s="87"/>
      <c r="G229" s="88"/>
      <c r="H229" s="89"/>
      <c r="I229" s="90"/>
      <c r="J229" s="91"/>
      <c r="K229" s="2"/>
    </row>
    <row r="230" spans="1:29">
      <c r="A230" s="87"/>
      <c r="B230" s="87"/>
      <c r="C230" s="87"/>
      <c r="D230" s="87"/>
      <c r="E230" s="87"/>
      <c r="F230" s="87"/>
      <c r="G230" s="92" t="s">
        <v>458</v>
      </c>
      <c r="H230" s="93">
        <v>0.21</v>
      </c>
      <c r="I230" s="94">
        <f>ROUND(I228*H230,2)</f>
        <v>0</v>
      </c>
      <c r="J230" s="91">
        <f>ROUND(J228*H230,2)</f>
        <v>0</v>
      </c>
      <c r="K230" s="2"/>
    </row>
    <row r="231" spans="1:29">
      <c r="A231" s="87"/>
      <c r="B231" s="87"/>
      <c r="C231" s="87"/>
      <c r="D231" s="87"/>
      <c r="E231" s="87"/>
      <c r="F231" s="87"/>
      <c r="G231" s="88"/>
      <c r="H231" s="89"/>
      <c r="I231" s="84"/>
      <c r="J231" s="85"/>
      <c r="K231" s="2"/>
    </row>
    <row r="232" spans="1:29" ht="13.5" thickBot="1">
      <c r="A232" s="87"/>
      <c r="B232" s="87"/>
      <c r="C232" s="87"/>
      <c r="D232" s="87"/>
      <c r="E232" s="87"/>
      <c r="F232" s="87"/>
      <c r="G232" s="95" t="s">
        <v>459</v>
      </c>
      <c r="H232" s="96"/>
      <c r="I232" s="97">
        <f>I230+I228</f>
        <v>0</v>
      </c>
      <c r="J232" s="98">
        <f>J230+J228</f>
        <v>0</v>
      </c>
      <c r="K232" s="2"/>
    </row>
    <row r="233" spans="1:29" ht="13.5" thickTop="1"/>
  </sheetData>
  <customSheetViews>
    <customSheetView guid="{2C2C9747-B0CA-48E2-A022-EAB318442176}" hiddenRows="1" hiddenColumns="1" topLeftCell="A2">
      <pane xSplit="28" ySplit="5" topLeftCell="AD52" activePane="bottomRight" state="frozen"/>
      <selection pane="bottomRight" activeCell="A65" sqref="A65"/>
    </customSheetView>
    <customSheetView guid="{A67801EE-16AB-4453-B88D-EB118836BA93}" hiddenRows="1" hiddenColumns="1" topLeftCell="A2">
      <pane xSplit="28" ySplit="5" topLeftCell="AD52" activePane="bottomRight" state="frozen"/>
      <selection pane="bottomRight" activeCell="A65" sqref="A65"/>
    </customSheetView>
  </customSheetViews>
  <pageMargins left="0.27559055118110237" right="0.27559055118110237" top="0.78740157480314965" bottom="0.78740157480314965" header="0.51181102362204722" footer="0.51181102362204722"/>
  <pageSetup paperSize="9" orientation="landscape" horizontalDpi="300" verticalDpi="300" r:id="rId1"/>
  <headerFooter alignWithMargins="0">
    <oddHeader>&amp;L&amp;D&amp;CSamenvattende opmeting dossier xxx - lot xxx&amp;R&amp;P</oddHeader>
  </headerFooter>
  <colBreaks count="2" manualBreakCount="2">
    <brk id="10" max="29" man="1"/>
    <brk id="23" max="29" man="1"/>
  </col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datamerge>
  <properties>
    <property name="Dossiernummer" code="[Dossiernummer]" value="DED17"/>
    <property name="Dossiernaam" code="[Dossiernaam]" value="Woning Eva&amp; David"/>
    <property name="Bouwheer" code="[Bouwheer]" value="Eva&amp;David" link="Bouwheren">
      <property name="ID" code="[Bouwheer.ID]" value="Eva&amp;David"/>
      <property name="Bedrijfsnaam" code="[Bouwheer.Bedrijfsnaam]" value=""/>
      <property name="Bedrijfsvorm" code="[Bouwheer.Bedrijfsvorm]" value=""/>
      <property name="Aanspreking" code="[Bouwheer.Aanspreking]" value="dhr."/>
      <property name="Naam" code="[Bouwheer.Naam]" value="DE REU"/>
      <property name="Voornaam" code="[Bouwheer.Voornaam]" value="David"/>
      <property name="en" code="[Bouwheer.en]" value="&amp;"/>
      <property name="Aanspreking2" code="[Bouwheer.Aanspreking2]" value="mvr."/>
      <property name="Naam2" code="[Bouwheer.Naam2]" value="VAN CAENEGEM"/>
      <property name="Voornaam2" code="[Bouwheer.Voornaam2]" value="Eva"/>
      <property name="BouwheerNaam" code="[Bouwheer.BouwheerNaam]" value="dhr. David DE REU &amp; mvr. Eva VAN CAENEGEM"/>
      <property name="Adres" code="[Bouwheer.Adres]" value="Bollebergen 39"/>
      <property name="Postcode" code="[Bouwheer.Postcode]" value="9052"/>
      <property name="Gemeente" code="[Bouwheer.Gemeente]" value="Zwijnaarde"/>
      <property name="Telefoon" code="[Bouwheer.Telefoon]" value=""/>
      <property name="Email" code="[Bouwheer.Email]" value="" func="@"/>
      <property name="GSM" code="[Bouwheer.GSM]" value=""/>
      <property name="Fax" code="[Bouwheer.Fax]" value=""/>
      <property name="BTW" code="[Bouwheer.BTW]" value=""/>
      <property name="Ondernemingsnummer" code="[Bouwheer.Ondernemingsnummer]" value=""/>
      <property name="MaatschappelijkeZetel" code="[Bouwheer.MaatschappelijkeZetel]" value=""/>
    </property>
    <property name="Dossieromschrijving" code="[Dossieromschrijving]" value="Bouwen van een ééngezinswoning"/>
    <property name="Dossiermap" code="[Dossiermap]" value="DED"/>
    <property name="Dossierdatum" code="[Dossierdatum]" value=""/>
    <property name="Projectstatus" code="[Projectstatus]" value="bouwaanvraag"/>
    <property name="Werf" code="[Werf]" value="Antoon Catriestraat - 9031 Drongen" link="Werven">
      <property name="ID" code="[Werf.ID]" value=""/>
      <property name="Provincie" code="[Werf.Provincie]" value=""/>
      <property name="Adres" code="[Werf.Adres]" value=""/>
      <property name="Postcode" code="[Werf.Postcode]" value=""/>
      <property name="Gemeente" code="[Werf.Gemeente]" value=""/>
      <property name="Telefoon" code="[Werf.Telefoon]" value=""/>
      <property name="Fax" code="[Werf.Fax]" value=""/>
      <property name="DatumStart" code="[Werf.DatumStart]" value=""/>
      <property name="Kadaster" code="[Werf.Kadaster]" value=""/>
      <property name="Verkaveling" code="[Werf.Verkaveling]" value=""/>
      <property name="DatumVerkaveling" code="[Werf.DatumVerkaveling]" value=""/>
      <property name="Werfleider" code="[Werf.Werfleider]" value="" link="Medewerkers">
        <property name="ID" code="[Werf.Werfleider.ID]" value=""/>
        <property name="Naam" code="[Werf.Werfleider.Naam]" value=""/>
        <property name="Voornaam" code="[Werf.Werfleider.Voornaam]" value=""/>
        <property name="Functie" code="[Werf.Werfleider.Functie]" value=""/>
        <property name="Email" code="[Werf.Werfleider.Email]" value="" func="@"/>
      </property>
    </property>
    <group name="Architecten">
      <property name="Architect" code="[Architect]" value="" link="Architecten">
        <property name="ID" code="[Architect.ID]" value=""/>
        <property name="Bedrijfsnaam" code="[Architect.Bedrijfsnaam]" value=""/>
        <property name="Bedrijfsvorm" code="[Architect.Bedrijfsvorm]" value=""/>
        <property name="Aanspreking" code="[Architect.Aanspreking]" value=""/>
        <property name="Naam" code="[Architect.Naam]" value=""/>
        <property name="Voornaam" code="[Architect.Voornaam]" value=""/>
        <property name="Adres" code="[Architect.Adres]" value=""/>
        <property name="Postcode" code="[Architect.Postcode]" value=""/>
        <property name="Gemeente" code="[Architect.Gemeente]" value=""/>
        <property name="Telefoon" code="[Architect.Telefoon]" value=""/>
        <property name="Email" code="[Architect.Email]" value="" func="@"/>
        <property name="GSM" code="[Architect.GSM]" value=""/>
        <property name="Fax" code="[Architect.Fax]" value=""/>
        <property name="Disciplines" code="[Architect.Disciplines]" value=""/>
        <property name="Ondernemingsnummer" code="[Architect.Ondernemingsnummer]" value=""/>
        <property name="MaatschappelijkeZetel" code="[Architect.MaatschappelijkeZetel]" value=""/>
        <property name="RPR" code="[Architect.RPR]" value=""/>
        <property name="OrdeProvincie" code="[Architect.OrdeProvincie]" value=""/>
      </property>
      <property name="Interieurarchitect" code="[Interieurarchitect]" value="" link="Architecten">
        <property name="ID" code="[Interieurarchitect.ID]" value=""/>
        <property name="Bedrijfsnaam" code="[Interieurarchitect.Bedrijfsnaam]" value=""/>
        <property name="Bedrijfsvorm" code="[Interieurarchitect.Bedrijfsvorm]" value=""/>
        <property name="Aanspreking" code="[Interieurarchitect.Aanspreking]" value=""/>
        <property name="Naam" code="[Interieurarchitect.Naam]" value=""/>
        <property name="Voornaam" code="[Interieurarchitect.Voornaam]" value=""/>
        <property name="Adres" code="[Interieurarchitect.Adres]" value=""/>
        <property name="Postcode" code="[Interieurarchitect.Postcode]" value=""/>
        <property name="Gemeente" code="[Interieurarchitect.Gemeente]" value=""/>
        <property name="Telefoon" code="[Interieurarchitect.Telefoon]" value=""/>
        <property name="Email" code="[Interieurarchitect.Email]" value="" func="@"/>
        <property name="GSM" code="[Interieurarchitect.GSM]" value=""/>
        <property name="Fax" code="[Interieurarchitect.Fax]" value=""/>
        <property name="Disciplines" code="[Interieurarchitect.Disciplines]" value=""/>
        <property name="Ondernemingsnummer" code="[Interieurarchitect.Ondernemingsnummer]" value=""/>
        <property name="MaatschappelijkeZetel" code="[Interieurarchitect.MaatschappelijkeZetel]" value=""/>
        <property name="RPR" code="[Interieurarchitect.RPR]" value=""/>
        <property name="OrdeProvincie" code="[Interieurarchitect.OrdeProvincie]" value=""/>
      </property>
      <property name="Tuin_en_landschapsarchitect" code="[Tuin_en_landschapsarchitect]" value="" link="Architecten">
        <property name="ID" code="[Tuin_en_landschapsarchitect.ID]" value=""/>
        <property name="Bedrijfsnaam" code="[Tuin_en_landschapsarchitect.Bedrijfsnaam]" value=""/>
        <property name="Bedrijfsvorm" code="[Tuin_en_landschapsarchitect.Bedrijfsvorm]" value=""/>
        <property name="Aanspreking" code="[Tuin_en_landschapsarchitect.Aanspreking]" value=""/>
        <property name="Naam" code="[Tuin_en_landschapsarchitect.Naam]" value=""/>
        <property name="Voornaam" code="[Tuin_en_landschapsarchitect.Voornaam]" value=""/>
        <property name="Adres" code="[Tuin_en_landschapsarchitect.Adres]" value=""/>
        <property name="Postcode" code="[Tuin_en_landschapsarchitect.Postcode]" value=""/>
        <property name="Gemeente" code="[Tuin_en_landschapsarchitect.Gemeente]" value=""/>
        <property name="Telefoon" code="[Tuin_en_landschapsarchitect.Telefoon]" value=""/>
        <property name="Email" code="[Tuin_en_landschapsarchitect.Email]" value="" func="@"/>
        <property name="GSM" code="[Tuin_en_landschapsarchitect.GSM]" value=""/>
        <property name="Fax" code="[Tuin_en_landschapsarchitect.Fax]" value=""/>
        <property name="Disciplines" code="[Tuin_en_landschapsarchitect.Disciplines]" value=""/>
        <property name="Ondernemingsnummer" code="[Tuin_en_landschapsarchitect.Ondernemingsnummer]" value=""/>
        <property name="MaatschappelijkeZetel" code="[Tuin_en_landschapsarchitect.MaatschappelijkeZetel]" value=""/>
        <property name="RPR" code="[Tuin_en_landschapsarchitect.RPR]" value=""/>
        <property name="OrdeProvincie" code="[Tuin_en_landschapsarchitect.OrdeProvincie]" value=""/>
      </property>
    </group>
    <property name="ProjectLeider" code="[ProjectLeider]" value="" link="Medewerkers">
      <property name="ID" code="[ProjectLeider.ID]" value=""/>
      <property name="Naam" code="[ProjectLeider.Naam]" value=""/>
      <property name="Voornaam" code="[ProjectLeider.Voornaam]" value=""/>
      <property name="Functie" code="[ProjectLeider.Functie]" value=""/>
      <property name="Email" code="[ProjectLeider.Email]" value="" func="@"/>
    </property>
    <group name="Aannemers">
      <property name="Aannemer_Grondwerken" code="[Aannemer_Grondwerken]" value="" link="Aannemers">
        <property name="ID" code="[Aannemer_Grondwerken.ID]" value=""/>
        <property name="Bedrijfsnaam" code="[Aannemer_Grondwerken.Bedrijfsnaam]" value=""/>
        <property name="Bedrijfsvorm" code="[Aannemer_Grondwerken.Bedrijfsvorm]" value=""/>
        <property name="Aanspreking" code="[Aannemer_Grondwerken.Aanspreking]" value=""/>
        <property name="Naam" code="[Aannemer_Grondwerken.Naam]" value=""/>
        <property name="Voornaam" code="[Aannemer_Grondwerken.Voornaam]" value=""/>
        <property name="Adres" code="[Aannemer_Grondwerken.Adres]" value=""/>
        <property name="Postcode" code="[Aannemer_Grondwerken.Postcode]" value=""/>
        <property name="Gemeente" code="[Aannemer_Grondwerken.Gemeente]" value=""/>
        <property name="Telefoon" code="[Aannemer_Grondwerken.Telefoon]" value=""/>
        <property name="Email" code="[Aannemer_Grondwerken.Email]" value="" func="@"/>
        <property name="GSM" code="[Aannemer_Grondwerken.GSM]" value=""/>
        <property name="Fax" code="[Aannemer_Grondwerken.Fax]" value=""/>
        <property name="Ondernemingsnummer" code="[Aannemer_Grondwerken.Ondernemingsnummer]" value=""/>
        <property name="MaatschappelijkeZetel" code="[Aannemer_Grondwerken.MaatschappelijkeZetel]" value=""/>
        <property name="Klasse" code="[Aannemer_Grondwerken.Klasse]" value=""/>
        <property name="Disciplines" code="[Aannemer_Grondwerken.Disciplines]" value=""/>
      </property>
      <property name="Aannemer_Ruwbouw" code="[Aannemer_Ruwbouw]" value="" link="Aannemers">
        <property name="ID" code="[Aannemer_Ruwbouw.ID]" value=""/>
        <property name="Bedrijfsnaam" code="[Aannemer_Ruwbouw.Bedrijfsnaam]" value=""/>
        <property name="Bedrijfsvorm" code="[Aannemer_Ruwbouw.Bedrijfsvorm]" value=""/>
        <property name="Aanspreking" code="[Aannemer_Ruwbouw.Aanspreking]" value=""/>
        <property name="Naam" code="[Aannemer_Ruwbouw.Naam]" value=""/>
        <property name="Voornaam" code="[Aannemer_Ruwbouw.Voornaam]" value=""/>
        <property name="Adres" code="[Aannemer_Ruwbouw.Adres]" value=""/>
        <property name="Postcode" code="[Aannemer_Ruwbouw.Postcode]" value=""/>
        <property name="Gemeente" code="[Aannemer_Ruwbouw.Gemeente]" value=""/>
        <property name="Telefoon" code="[Aannemer_Ruwbouw.Telefoon]" value=""/>
        <property name="Email" code="[Aannemer_Ruwbouw.Email]" value="" func="@"/>
        <property name="GSM" code="[Aannemer_Ruwbouw.GSM]" value=""/>
        <property name="Fax" code="[Aannemer_Ruwbouw.Fax]" value=""/>
        <property name="Ondernemingsnummer" code="[Aannemer_Ruwbouw.Ondernemingsnummer]" value=""/>
        <property name="MaatschappelijkeZetel" code="[Aannemer_Ruwbouw.MaatschappelijkeZetel]" value=""/>
        <property name="Klasse" code="[Aannemer_Ruwbouw.Klasse]" value=""/>
        <property name="Disciplines" code="[Aannemer_Ruwbouw.Disciplines]" value=""/>
      </property>
      <property name="Aannemer_Dakwerken" code="[Aannemer_Dakwerken]" value="" link="Aannemers">
        <property name="ID" code="[Aannemer_Dakwerken.ID]" value=""/>
        <property name="Bedrijfsnaam" code="[Aannemer_Dakwerken.Bedrijfsnaam]" value=""/>
        <property name="Bedrijfsvorm" code="[Aannemer_Dakwerken.Bedrijfsvorm]" value=""/>
        <property name="Aanspreking" code="[Aannemer_Dakwerken.Aanspreking]" value=""/>
        <property name="Naam" code="[Aannemer_Dakwerken.Naam]" value=""/>
        <property name="Voornaam" code="[Aannemer_Dakwerken.Voornaam]" value=""/>
        <property name="Adres" code="[Aannemer_Dakwerken.Adres]" value=""/>
        <property name="Postcode" code="[Aannemer_Dakwerken.Postcode]" value=""/>
        <property name="Gemeente" code="[Aannemer_Dakwerken.Gemeente]" value=""/>
        <property name="Telefoon" code="[Aannemer_Dakwerken.Telefoon]" value=""/>
        <property name="Email" code="[Aannemer_Dakwerken.Email]" value="" func="@"/>
        <property name="GSM" code="[Aannemer_Dakwerken.GSM]" value=""/>
        <property name="Fax" code="[Aannemer_Dakwerken.Fax]" value=""/>
        <property name="Ondernemingsnummer" code="[Aannemer_Dakwerken.Ondernemingsnummer]" value=""/>
        <property name="MaatschappelijkeZetel" code="[Aannemer_Dakwerken.MaatschappelijkeZetel]" value=""/>
        <property name="Klasse" code="[Aannemer_Dakwerken.Klasse]" value=""/>
        <property name="Disciplines" code="[Aannemer_Dakwerken.Disciplines]" value=""/>
      </property>
      <property name="Aannemer_Schrijnwerk" code="[Aannemer_Schrijnwerk]" value="" link="Aannemers">
        <property name="ID" code="[Aannemer_Schrijnwerk.ID]" value=""/>
        <property name="Bedrijfsnaam" code="[Aannemer_Schrijnwerk.Bedrijfsnaam]" value=""/>
        <property name="Bedrijfsvorm" code="[Aannemer_Schrijnwerk.Bedrijfsvorm]" value=""/>
        <property name="Aanspreking" code="[Aannemer_Schrijnwerk.Aanspreking]" value=""/>
        <property name="Naam" code="[Aannemer_Schrijnwerk.Naam]" value=""/>
        <property name="Voornaam" code="[Aannemer_Schrijnwerk.Voornaam]" value=""/>
        <property name="Adres" code="[Aannemer_Schrijnwerk.Adres]" value=""/>
        <property name="Postcode" code="[Aannemer_Schrijnwerk.Postcode]" value=""/>
        <property name="Gemeente" code="[Aannemer_Schrijnwerk.Gemeente]" value=""/>
        <property name="Telefoon" code="[Aannemer_Schrijnwerk.Telefoon]" value=""/>
        <property name="Email" code="[Aannemer_Schrijnwerk.Email]" value="" func="@"/>
        <property name="GSM" code="[Aannemer_Schrijnwerk.GSM]" value=""/>
        <property name="Fax" code="[Aannemer_Schrijnwerk.Fax]" value=""/>
        <property name="Ondernemingsnummer" code="[Aannemer_Schrijnwerk.Ondernemingsnummer]" value=""/>
        <property name="MaatschappelijkeZetel" code="[Aannemer_Schrijnwerk.MaatschappelijkeZetel]" value=""/>
        <property name="Klasse" code="[Aannemer_Schrijnwerk.Klasse]" value=""/>
        <property name="Disciplines" code="[Aannemer_Schrijnwerk.Disciplines]" value=""/>
      </property>
      <property name="Aannemer_Elektra" code="[Aannemer_Elektra]" value="" link="Aannemers">
        <property name="ID" code="[Aannemer_Elektra.ID]" value=""/>
        <property name="Bedrijfsnaam" code="[Aannemer_Elektra.Bedrijfsnaam]" value=""/>
        <property name="Bedrijfsvorm" code="[Aannemer_Elektra.Bedrijfsvorm]" value=""/>
        <property name="Aanspreking" code="[Aannemer_Elektra.Aanspreking]" value=""/>
        <property name="Naam" code="[Aannemer_Elektra.Naam]" value=""/>
        <property name="Voornaam" code="[Aannemer_Elektra.Voornaam]" value=""/>
        <property name="Adres" code="[Aannemer_Elektra.Adres]" value=""/>
        <property name="Postcode" code="[Aannemer_Elektra.Postcode]" value=""/>
        <property name="Gemeente" code="[Aannemer_Elektra.Gemeente]" value=""/>
        <property name="Telefoon" code="[Aannemer_Elektra.Telefoon]" value=""/>
        <property name="Email" code="[Aannemer_Elektra.Email]" value="" func="@"/>
        <property name="GSM" code="[Aannemer_Elektra.GSM]" value=""/>
        <property name="Fax" code="[Aannemer_Elektra.Fax]" value=""/>
        <property name="Ondernemingsnummer" code="[Aannemer_Elektra.Ondernemingsnummer]" value=""/>
        <property name="MaatschappelijkeZetel" code="[Aannemer_Elektra.MaatschappelijkeZetel]" value=""/>
        <property name="Klasse" code="[Aannemer_Elektra.Klasse]" value=""/>
        <property name="Disciplines" code="[Aannemer_Elektra.Disciplines]" value=""/>
      </property>
      <property name="Aannemer_Pleisterwerk" code="[Aannemer_Pleisterwerk]" value="" link="Aannemers">
        <property name="ID" code="[Aannemer_Pleisterwerk.ID]" value=""/>
        <property name="Bedrijfsnaam" code="[Aannemer_Pleisterwerk.Bedrijfsnaam]" value=""/>
        <property name="Bedrijfsvorm" code="[Aannemer_Pleisterwerk.Bedrijfsvorm]" value=""/>
        <property name="Aanspreking" code="[Aannemer_Pleisterwerk.Aanspreking]" value=""/>
        <property name="Naam" code="[Aannemer_Pleisterwerk.Naam]" value=""/>
        <property name="Voornaam" code="[Aannemer_Pleisterwerk.Voornaam]" value=""/>
        <property name="Adres" code="[Aannemer_Pleisterwerk.Adres]" value=""/>
        <property name="Postcode" code="[Aannemer_Pleisterwerk.Postcode]" value=""/>
        <property name="Gemeente" code="[Aannemer_Pleisterwerk.Gemeente]" value=""/>
        <property name="Telefoon" code="[Aannemer_Pleisterwerk.Telefoon]" value=""/>
        <property name="Email" code="[Aannemer_Pleisterwerk.Email]" value="" func="@"/>
        <property name="GSM" code="[Aannemer_Pleisterwerk.GSM]" value=""/>
        <property name="Fax" code="[Aannemer_Pleisterwerk.Fax]" value=""/>
        <property name="Ondernemingsnummer" code="[Aannemer_Pleisterwerk.Ondernemingsnummer]" value=""/>
        <property name="MaatschappelijkeZetel" code="[Aannemer_Pleisterwerk.MaatschappelijkeZetel]" value=""/>
        <property name="Klasse" code="[Aannemer_Pleisterwerk.Klasse]" value=""/>
        <property name="Disciplines" code="[Aannemer_Pleisterwerk.Disciplines]" value=""/>
      </property>
      <property name="Aannemer_Sanitair" code="[Aannemer_Sanitair]" value="" link="Aannemers">
        <property name="ID" code="[Aannemer_Sanitair.ID]" value=""/>
        <property name="Bedrijfsnaam" code="[Aannemer_Sanitair.Bedrijfsnaam]" value=""/>
        <property name="Bedrijfsvorm" code="[Aannemer_Sanitair.Bedrijfsvorm]" value=""/>
        <property name="Aanspreking" code="[Aannemer_Sanitair.Aanspreking]" value=""/>
        <property name="Naam" code="[Aannemer_Sanitair.Naam]" value=""/>
        <property name="Voornaam" code="[Aannemer_Sanitair.Voornaam]" value=""/>
        <property name="Adres" code="[Aannemer_Sanitair.Adres]" value=""/>
        <property name="Postcode" code="[Aannemer_Sanitair.Postcode]" value=""/>
        <property name="Gemeente" code="[Aannemer_Sanitair.Gemeente]" value=""/>
        <property name="Telefoon" code="[Aannemer_Sanitair.Telefoon]" value=""/>
        <property name="Email" code="[Aannemer_Sanitair.Email]" value="" func="@"/>
        <property name="GSM" code="[Aannemer_Sanitair.GSM]" value=""/>
        <property name="Fax" code="[Aannemer_Sanitair.Fax]" value=""/>
        <property name="Ondernemingsnummer" code="[Aannemer_Sanitair.Ondernemingsnummer]" value=""/>
        <property name="MaatschappelijkeZetel" code="[Aannemer_Sanitair.MaatschappelijkeZetel]" value=""/>
        <property name="Klasse" code="[Aannemer_Sanitair.Klasse]" value=""/>
        <property name="Disciplines" code="[Aannemer_Sanitair.Disciplines]" value=""/>
      </property>
      <property name="Aannemer_Vloeren" code="[Aannemer_Vloeren]" value="" link="Aannemers">
        <property name="ID" code="[Aannemer_Vloeren.ID]" value=""/>
        <property name="Bedrijfsnaam" code="[Aannemer_Vloeren.Bedrijfsnaam]" value=""/>
        <property name="Bedrijfsvorm" code="[Aannemer_Vloeren.Bedrijfsvorm]" value=""/>
        <property name="Aanspreking" code="[Aannemer_Vloeren.Aanspreking]" value=""/>
        <property name="Naam" code="[Aannemer_Vloeren.Naam]" value=""/>
        <property name="Voornaam" code="[Aannemer_Vloeren.Voornaam]" value=""/>
        <property name="Adres" code="[Aannemer_Vloeren.Adres]" value=""/>
        <property name="Postcode" code="[Aannemer_Vloeren.Postcode]" value=""/>
        <property name="Gemeente" code="[Aannemer_Vloeren.Gemeente]" value=""/>
        <property name="Telefoon" code="[Aannemer_Vloeren.Telefoon]" value=""/>
        <property name="Email" code="[Aannemer_Vloeren.Email]" value="" func="@"/>
        <property name="GSM" code="[Aannemer_Vloeren.GSM]" value=""/>
        <property name="Fax" code="[Aannemer_Vloeren.Fax]" value=""/>
        <property name="Ondernemingsnummer" code="[Aannemer_Vloeren.Ondernemingsnummer]" value=""/>
        <property name="MaatschappelijkeZetel" code="[Aannemer_Vloeren.MaatschappelijkeZetel]" value=""/>
        <property name="Klasse" code="[Aannemer_Vloeren.Klasse]" value=""/>
        <property name="Disciplines" code="[Aannemer_Vloeren.Disciplines]" value=""/>
      </property>
      <property name="Aannemer_Verwarming" code="[Aannemer_Verwarming]" value="" link="Aannemers">
        <property name="ID" code="[Aannemer_Verwarming.ID]" value=""/>
        <property name="Bedrijfsnaam" code="[Aannemer_Verwarming.Bedrijfsnaam]" value=""/>
        <property name="Bedrijfsvorm" code="[Aannemer_Verwarming.Bedrijfsvorm]" value=""/>
        <property name="Aanspreking" code="[Aannemer_Verwarming.Aanspreking]" value=""/>
        <property name="Naam" code="[Aannemer_Verwarming.Naam]" value=""/>
        <property name="Voornaam" code="[Aannemer_Verwarming.Voornaam]" value=""/>
        <property name="Adres" code="[Aannemer_Verwarming.Adres]" value=""/>
        <property name="Postcode" code="[Aannemer_Verwarming.Postcode]" value=""/>
        <property name="Gemeente" code="[Aannemer_Verwarming.Gemeente]" value=""/>
        <property name="Telefoon" code="[Aannemer_Verwarming.Telefoon]" value=""/>
        <property name="Email" code="[Aannemer_Verwarming.Email]" value="" func="@"/>
        <property name="GSM" code="[Aannemer_Verwarming.GSM]" value=""/>
        <property name="Fax" code="[Aannemer_Verwarming.Fax]" value=""/>
        <property name="Ondernemingsnummer" code="[Aannemer_Verwarming.Ondernemingsnummer]" value=""/>
        <property name="MaatschappelijkeZetel" code="[Aannemer_Verwarming.MaatschappelijkeZetel]" value=""/>
        <property name="Klasse" code="[Aannemer_Verwarming.Klasse]" value=""/>
        <property name="Disciplines" code="[Aannemer_Verwarming.Disciplines]" value=""/>
      </property>
      <property name="Aannemer_Schilderwerken" code="[Aannemer_Schilderwerken]" value="" link="Aannemers">
        <property name="ID" code="[Aannemer_Schilderwerken.ID]" value=""/>
        <property name="Bedrijfsnaam" code="[Aannemer_Schilderwerken.Bedrijfsnaam]" value=""/>
        <property name="Bedrijfsvorm" code="[Aannemer_Schilderwerken.Bedrijfsvorm]" value=""/>
        <property name="Aanspreking" code="[Aannemer_Schilderwerken.Aanspreking]" value=""/>
        <property name="Naam" code="[Aannemer_Schilderwerken.Naam]" value=""/>
        <property name="Voornaam" code="[Aannemer_Schilderwerken.Voornaam]" value=""/>
        <property name="Adres" code="[Aannemer_Schilderwerken.Adres]" value=""/>
        <property name="Postcode" code="[Aannemer_Schilderwerken.Postcode]" value=""/>
        <property name="Gemeente" code="[Aannemer_Schilderwerken.Gemeente]" value=""/>
        <property name="Telefoon" code="[Aannemer_Schilderwerken.Telefoon]" value=""/>
        <property name="Email" code="[Aannemer_Schilderwerken.Email]" value="" func="@"/>
        <property name="GSM" code="[Aannemer_Schilderwerken.GSM]" value=""/>
        <property name="Fax" code="[Aannemer_Schilderwerken.Fax]" value=""/>
        <property name="Ondernemingsnummer" code="[Aannemer_Schilderwerken.Ondernemingsnummer]" value=""/>
        <property name="MaatschappelijkeZetel" code="[Aannemer_Schilderwerken.MaatschappelijkeZetel]" value=""/>
        <property name="Klasse" code="[Aannemer_Schilderwerken.Klasse]" value=""/>
        <property name="Disciplines" code="[Aannemer_Schilderwerken.Disciplines]" value=""/>
      </property>
      <property name="Aannemer_Tuinaanleg" code="[Aannemer_Tuinaanleg]" value="" link="Aannemers">
        <property name="ID" code="[Aannemer_Tuinaanleg.ID]" value=""/>
        <property name="Bedrijfsnaam" code="[Aannemer_Tuinaanleg.Bedrijfsnaam]" value=""/>
        <property name="Bedrijfsvorm" code="[Aannemer_Tuinaanleg.Bedrijfsvorm]" value=""/>
        <property name="Aanspreking" code="[Aannemer_Tuinaanleg.Aanspreking]" value=""/>
        <property name="Naam" code="[Aannemer_Tuinaanleg.Naam]" value=""/>
        <property name="Voornaam" code="[Aannemer_Tuinaanleg.Voornaam]" value=""/>
        <property name="Adres" code="[Aannemer_Tuinaanleg.Adres]" value=""/>
        <property name="Postcode" code="[Aannemer_Tuinaanleg.Postcode]" value=""/>
        <property name="Gemeente" code="[Aannemer_Tuinaanleg.Gemeente]" value=""/>
        <property name="Telefoon" code="[Aannemer_Tuinaanleg.Telefoon]" value=""/>
        <property name="Email" code="[Aannemer_Tuinaanleg.Email]" value="" func="@"/>
        <property name="GSM" code="[Aannemer_Tuinaanleg.GSM]" value=""/>
        <property name="Fax" code="[Aannemer_Tuinaanleg.Fax]" value=""/>
        <property name="Ondernemingsnummer" code="[Aannemer_Tuinaanleg.Ondernemingsnummer]" value=""/>
        <property name="MaatschappelijkeZetel" code="[Aannemer_Tuinaanleg.MaatschappelijkeZetel]" value=""/>
        <property name="Klasse" code="[Aannemer_Tuinaanleg.Klasse]" value=""/>
        <property name="Disciplines" code="[Aannemer_Tuinaanleg.Disciplines]" value=""/>
      </property>
    </group>
    <group name="Ingenieurs">
      <property name="Ingenieur_Stabiliteit" code="[Ingenieur_Stabiliteit]" value="" link="Ingenieurs">
        <property name="ID" code="[Ingenieur_Stabiliteit.ID]" value=""/>
        <property name="Bedrijfsnaam" code="[Ingenieur_Stabiliteit.Bedrijfsnaam]" value=""/>
        <property name="Bedrijfsvorm" code="[Ingenieur_Stabiliteit.Bedrijfsvorm]" value=""/>
        <property name="Aanspreking" code="[Ingenieur_Stabiliteit.Aanspreking]" value=""/>
        <property name="Naam" code="[Ingenieur_Stabiliteit.Naam]" value=""/>
        <property name="Voornaam" code="[Ingenieur_Stabiliteit.Voornaam]" value=""/>
        <property name="Adres" code="[Ingenieur_Stabiliteit.Adres]" value=""/>
        <property name="Postcode" code="[Ingenieur_Stabiliteit.Postcode]" value=""/>
        <property name="Gemeente" code="[Ingenieur_Stabiliteit.Gemeente]" value=""/>
        <property name="Telefoon" code="[Ingenieur_Stabiliteit.Telefoon]" value=""/>
        <property name="Email" code="[Ingenieur_Stabiliteit.Email]" value="" func="@"/>
        <property name="GSM" code="[Ingenieur_Stabiliteit.GSM]" value=""/>
        <property name="Fax" code="[Ingenieur_Stabiliteit.Fax]" value=""/>
        <property name="Ondernemingsnummer" code="[Ingenieur_Stabiliteit.Ondernemingsnummer]" value=""/>
        <property name="MaatschappelijkeZetel" code="[Ingenieur_Stabiliteit.MaatschappelijkeZetel]" value=""/>
        <property name="Klasse" code="[Ingenieur_Stabiliteit.Klasse]" value=""/>
        <property name="Disciplines" code="[Ingenieur_Stabiliteit.Disciplines]" value=""/>
      </property>
      <property name="Ingenieur_Technieken" code="[Ingenieur_Technieken]" value="" link="Ingenieurs">
        <property name="ID" code="[Ingenieur_Technieken.ID]" value=""/>
        <property name="Bedrijfsnaam" code="[Ingenieur_Technieken.Bedrijfsnaam]" value=""/>
        <property name="Bedrijfsvorm" code="[Ingenieur_Technieken.Bedrijfsvorm]" value=""/>
        <property name="Aanspreking" code="[Ingenieur_Technieken.Aanspreking]" value=""/>
        <property name="Naam" code="[Ingenieur_Technieken.Naam]" value=""/>
        <property name="Voornaam" code="[Ingenieur_Technieken.Voornaam]" value=""/>
        <property name="Adres" code="[Ingenieur_Technieken.Adres]" value=""/>
        <property name="Postcode" code="[Ingenieur_Technieken.Postcode]" value=""/>
        <property name="Gemeente" code="[Ingenieur_Technieken.Gemeente]" value=""/>
        <property name="Telefoon" code="[Ingenieur_Technieken.Telefoon]" value=""/>
        <property name="Email" code="[Ingenieur_Technieken.Email]" value="" func="@"/>
        <property name="GSM" code="[Ingenieur_Technieken.GSM]" value=""/>
        <property name="Fax" code="[Ingenieur_Technieken.Fax]" value=""/>
        <property name="Ondernemingsnummer" code="[Ingenieur_Technieken.Ondernemingsnummer]" value=""/>
        <property name="MaatschappelijkeZetel" code="[Ingenieur_Technieken.MaatschappelijkeZetel]" value=""/>
        <property name="Klasse" code="[Ingenieur_Technieken.Klasse]" value=""/>
        <property name="Disciplines" code="[Ingenieur_Technieken.Disciplines]" value=""/>
      </property>
      <property name="Ingenieur_Akoestiek" code="[Ingenieur_Akoestiek]" value="" link="Ingenieurs">
        <property name="ID" code="[Ingenieur_Akoestiek.ID]" value=""/>
        <property name="Bedrijfsnaam" code="[Ingenieur_Akoestiek.Bedrijfsnaam]" value=""/>
        <property name="Bedrijfsvorm" code="[Ingenieur_Akoestiek.Bedrijfsvorm]" value=""/>
        <property name="Aanspreking" code="[Ingenieur_Akoestiek.Aanspreking]" value=""/>
        <property name="Naam" code="[Ingenieur_Akoestiek.Naam]" value=""/>
        <property name="Voornaam" code="[Ingenieur_Akoestiek.Voornaam]" value=""/>
        <property name="Adres" code="[Ingenieur_Akoestiek.Adres]" value=""/>
        <property name="Postcode" code="[Ingenieur_Akoestiek.Postcode]" value=""/>
        <property name="Gemeente" code="[Ingenieur_Akoestiek.Gemeente]" value=""/>
        <property name="Telefoon" code="[Ingenieur_Akoestiek.Telefoon]" value=""/>
        <property name="Email" code="[Ingenieur_Akoestiek.Email]" value="" func="@"/>
        <property name="GSM" code="[Ingenieur_Akoestiek.GSM]" value=""/>
        <property name="Fax" code="[Ingenieur_Akoestiek.Fax]" value=""/>
        <property name="Ondernemingsnummer" code="[Ingenieur_Akoestiek.Ondernemingsnummer]" value=""/>
        <property name="MaatschappelijkeZetel" code="[Ingenieur_Akoestiek.MaatschappelijkeZetel]" value=""/>
        <property name="Klasse" code="[Ingenieur_Akoestiek.Klasse]" value=""/>
        <property name="Disciplines" code="[Ingenieur_Akoestiek.Disciplines]" value=""/>
      </property>
    </group>
    <property name="Veiligheidscoördinatie" code="[Veiligheidscoördinatie]" value="" link="Veiligheidscoördinatie">
      <property name="ID" code="[Veiligheidscoördinatie.ID]" value=""/>
      <property name="Bedrijfsnaam" code="[Veiligheidscoördinatie.Bedrijfsnaam]" value=""/>
      <property name="Bedrijfsvorm" code="[Veiligheidscoördinatie.Bedrijfsvorm]" value=""/>
      <property name="Aanspreking" code="[Veiligheidscoördinatie.Aanspreking]" value=""/>
      <property name="Naam" code="[Veiligheidscoördinatie.Naam]" value=""/>
      <property name="Voornaam" code="[Veiligheidscoördinatie.Voornaam]" value=""/>
      <property name="Adres" code="[Veiligheidscoördinatie.Adres]" value=""/>
      <property name="Postcode" code="[Veiligheidscoördinatie.Postcode]" value=""/>
      <property name="Gemeente" code="[Veiligheidscoördinatie.Gemeente]" value=""/>
      <property name="Telefoon" code="[Veiligheidscoördinatie.Telefoon]" value=""/>
      <property name="Email" code="[Veiligheidscoördinatie.Email]" value="" func="@"/>
      <property name="GSM" code="[Veiligheidscoördinatie.GSM]" value=""/>
      <property name="Fax" code="[Veiligheidscoördinatie.Fax]" value=""/>
      <property name="Ondernemingsnummer" code="[Veiligheidscoördinatie.Ondernemingsnummer]" value=""/>
      <property name="MaatschappelijkeZetel" code="[Veiligheidscoördinatie.MaatschappelijkeZetel]" value=""/>
    </property>
    <property name="EPB" code="[EPB]" value="" link="EPB">
      <property name="ID" code="[EPB.ID]" value=""/>
      <property name="Bedrijfsnaam" code="[EPB.Bedrijfsnaam]" value=""/>
      <property name="Bedrijfsvorm" code="[EPB.Bedrijfsvorm]" value=""/>
      <property name="Aanspreking" code="[EPB.Aanspreking]" value=""/>
      <property name="Naam" code="[EPB.Naam]" value=""/>
      <property name="Voornaam" code="[EPB.Voornaam]" value=""/>
      <property name="Adres" code="[EPB.Adres]" value=""/>
      <property name="Postcode" code="[EPB.Postcode]" value=""/>
      <property name="Gemeente" code="[EPB.Gemeente]" value=""/>
      <property name="Telefoon" code="[EPB.Telefoon]" value=""/>
      <property name="Email" code="[EPB.Email]" value="" func="@"/>
      <property name="GSM" code="[EPB.GSM]" value=""/>
      <property name="Fax" code="[EPB.Fax]" value=""/>
      <property name="Ondernemingsnummer" code="[EPB.Ondernemingsnummer]" value=""/>
      <property name="MaatschappelijkeZetel" code="[EPB.MaatschappelijkeZetel]" value=""/>
    </property>
  </properties>
</datamerge>
</file>

<file path=customXml/itemProps1.xml><?xml version="1.0" encoding="utf-8"?>
<ds:datastoreItem xmlns:ds="http://schemas.openxmlformats.org/officeDocument/2006/customXml" ds:itemID="{73B1C498-A918-4AA7-9704-7D0E60D0684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190</vt:i4>
      </vt:variant>
    </vt:vector>
  </HeadingPairs>
  <TitlesOfParts>
    <vt:vector size="192" baseType="lpstr">
      <vt:lpstr>Detail Verwarm San Vent</vt:lpstr>
      <vt:lpstr>Samenvatting Verwarm San Vent</vt:lpstr>
      <vt:lpstr>'Samenvatting Verwarm San Vent'!Afdrukbereik</vt:lpstr>
      <vt:lpstr>'Samenvatting Verwarm San Vent'!Afdruktitels</vt:lpstr>
      <vt:lpstr>'Detail Verwarm San Vent'!Art_00.</vt:lpstr>
      <vt:lpstr>'Detail Verwarm San Vent'!Art_00.10.</vt:lpstr>
      <vt:lpstr>'Detail Verwarm San Vent'!Art_00.20.</vt:lpstr>
      <vt:lpstr>'Detail Verwarm San Vent'!Art_00.21.</vt:lpstr>
      <vt:lpstr>'Detail Verwarm San Vent'!Art_00.24.</vt:lpstr>
      <vt:lpstr>'Detail Verwarm San Vent'!Art_00.25.</vt:lpstr>
      <vt:lpstr>'Detail Verwarm San Vent'!Art_00.30.</vt:lpstr>
      <vt:lpstr>'Detail Verwarm San Vent'!Art_00.31.</vt:lpstr>
      <vt:lpstr>'Detail Verwarm San Vent'!Art_00.32.</vt:lpstr>
      <vt:lpstr>'Detail Verwarm San Vent'!Art_00.33.</vt:lpstr>
      <vt:lpstr>'Detail Verwarm San Vent'!Art_00.34.</vt:lpstr>
      <vt:lpstr>'Detail Verwarm San Vent'!Art_00.35.</vt:lpstr>
      <vt:lpstr>'Detail Verwarm San Vent'!Art_01.</vt:lpstr>
      <vt:lpstr>'Detail Verwarm San Vent'!Art_01.00.</vt:lpstr>
      <vt:lpstr>'Detail Verwarm San Vent'!Art_01.01.</vt:lpstr>
      <vt:lpstr>'Detail Verwarm San Vent'!Art_01.02.</vt:lpstr>
      <vt:lpstr>'Detail Verwarm San Vent'!Art_01.03.</vt:lpstr>
      <vt:lpstr>'Detail Verwarm San Vent'!Art_01.04.</vt:lpstr>
      <vt:lpstr>'Detail Verwarm San Vent'!Art_01.05.</vt:lpstr>
      <vt:lpstr>'Detail Verwarm San Vent'!Art_01.06.</vt:lpstr>
      <vt:lpstr>'Detail Verwarm San Vent'!Art_01.07.</vt:lpstr>
      <vt:lpstr>'Detail Verwarm San Vent'!Art_01.08.</vt:lpstr>
      <vt:lpstr>'Detail Verwarm San Vent'!Art_01.20.</vt:lpstr>
      <vt:lpstr>'Detail Verwarm San Vent'!Art_01.21.</vt:lpstr>
      <vt:lpstr>'Detail Verwarm San Vent'!Art_01.23.</vt:lpstr>
      <vt:lpstr>'Detail Verwarm San Vent'!Art_01.25.</vt:lpstr>
      <vt:lpstr>'Detail Verwarm San Vent'!Art_01.30.</vt:lpstr>
      <vt:lpstr>'Detail Verwarm San Vent'!Art_01.31.</vt:lpstr>
      <vt:lpstr>'Detail Verwarm San Vent'!Art_01.32.</vt:lpstr>
      <vt:lpstr>'Detail Verwarm San Vent'!Art_01.33.</vt:lpstr>
      <vt:lpstr>'Detail Verwarm San Vent'!Art_01.40.</vt:lpstr>
      <vt:lpstr>'Detail Verwarm San Vent'!Art_02.</vt:lpstr>
      <vt:lpstr>'Detail Verwarm San Vent'!Art_02.00.</vt:lpstr>
      <vt:lpstr>'Detail Verwarm San Vent'!Art_02.80.</vt:lpstr>
      <vt:lpstr>'Detail Verwarm San Vent'!Art_02.81.</vt:lpstr>
      <vt:lpstr>'Detail Verwarm San Vent'!Art_02.81.10.</vt:lpstr>
      <vt:lpstr>'Detail Verwarm San Vent'!Art_04.</vt:lpstr>
      <vt:lpstr>'Detail Verwarm San Vent'!Art_04.00.</vt:lpstr>
      <vt:lpstr>'Detail Verwarm San Vent'!Art_04.10.</vt:lpstr>
      <vt:lpstr>'Detail Verwarm San Vent'!Art_04.40.</vt:lpstr>
      <vt:lpstr>'Detail Verwarm San Vent'!Art_60.</vt:lpstr>
      <vt:lpstr>'Detail Verwarm San Vent'!Art_60.00.</vt:lpstr>
      <vt:lpstr>'Detail Verwarm San Vent'!Art_60.10.</vt:lpstr>
      <vt:lpstr>'Detail Verwarm San Vent'!Art_60.12.</vt:lpstr>
      <vt:lpstr>'Detail Verwarm San Vent'!Art_60.12.01.</vt:lpstr>
      <vt:lpstr>'Detail Verwarm San Vent'!Art_60.12.02.</vt:lpstr>
      <vt:lpstr>'Detail Verwarm San Vent'!Art_60.12.03.</vt:lpstr>
      <vt:lpstr>'Detail Verwarm San Vent'!Art_60.12.04.</vt:lpstr>
      <vt:lpstr>'Detail Verwarm San Vent'!Art_60.12.05.</vt:lpstr>
      <vt:lpstr>'Detail Verwarm San Vent'!Art_60.20.</vt:lpstr>
      <vt:lpstr>'Detail Verwarm San Vent'!Art_60.22.</vt:lpstr>
      <vt:lpstr>'Detail Verwarm San Vent'!Art_60.30.</vt:lpstr>
      <vt:lpstr>'Detail Verwarm San Vent'!Art_60.33.</vt:lpstr>
      <vt:lpstr>'Detail Verwarm San Vent'!Art_60.50.</vt:lpstr>
      <vt:lpstr>'Detail Verwarm San Vent'!Art_60.51.</vt:lpstr>
      <vt:lpstr>'Detail Verwarm San Vent'!Art_60.51.30.</vt:lpstr>
      <vt:lpstr>'Detail Verwarm San Vent'!Art_60.51.31.</vt:lpstr>
      <vt:lpstr>'Detail Verwarm San Vent'!Art_60.51.34.</vt:lpstr>
      <vt:lpstr>'Detail Verwarm San Vent'!Art_60.52.</vt:lpstr>
      <vt:lpstr>'Detail Verwarm San Vent'!Art_60.53.</vt:lpstr>
      <vt:lpstr>'Detail Verwarm San Vent'!Art_60.60.</vt:lpstr>
      <vt:lpstr>'Detail Verwarm San Vent'!Art_60.61.</vt:lpstr>
      <vt:lpstr>'Detail Verwarm San Vent'!Art_60.62.</vt:lpstr>
      <vt:lpstr>'Detail Verwarm San Vent'!Art_60.63.</vt:lpstr>
      <vt:lpstr>'Detail Verwarm San Vent'!Art_61.</vt:lpstr>
      <vt:lpstr>'Detail Verwarm San Vent'!Art_61.00.</vt:lpstr>
      <vt:lpstr>'Detail Verwarm San Vent'!Art_61.10.</vt:lpstr>
      <vt:lpstr>'Detail Verwarm San Vent'!Art_61.12.</vt:lpstr>
      <vt:lpstr>'Detail Verwarm San Vent'!Art_61.12.01.</vt:lpstr>
      <vt:lpstr>'Detail Verwarm San Vent'!Art_61.12.02.</vt:lpstr>
      <vt:lpstr>'Detail Verwarm San Vent'!Art_61.12.03.</vt:lpstr>
      <vt:lpstr>Art_61.12.04.</vt:lpstr>
      <vt:lpstr>'Detail Verwarm San Vent'!Art_61.20.</vt:lpstr>
      <vt:lpstr>'Detail Verwarm San Vent'!Art_61.21.</vt:lpstr>
      <vt:lpstr>'Detail Verwarm San Vent'!Art_61.21.11.</vt:lpstr>
      <vt:lpstr>'Detail Verwarm San Vent'!Art_61.30.</vt:lpstr>
      <vt:lpstr>'Detail Verwarm San Vent'!Art_61.32.</vt:lpstr>
      <vt:lpstr>'Detail Verwarm San Vent'!Art_61.60.</vt:lpstr>
      <vt:lpstr>'Detail Verwarm San Vent'!Art_61.63.</vt:lpstr>
      <vt:lpstr>'Detail Verwarm San Vent'!Art_61.63.01.</vt:lpstr>
      <vt:lpstr>'Detail Verwarm San Vent'!Art_61.63.02.</vt:lpstr>
      <vt:lpstr>'Detail Verwarm San Vent'!Art_61.70.</vt:lpstr>
      <vt:lpstr>'Detail Verwarm San Vent'!Art_61.72.</vt:lpstr>
      <vt:lpstr>'Detail Verwarm San Vent'!Art_61.72.10.</vt:lpstr>
      <vt:lpstr>Art_61.72.11.</vt:lpstr>
      <vt:lpstr>'Detail Verwarm San Vent'!Art_61.80.</vt:lpstr>
      <vt:lpstr>'Detail Verwarm San Vent'!Art_61.81.</vt:lpstr>
      <vt:lpstr>'Detail Verwarm San Vent'!Art_62.</vt:lpstr>
      <vt:lpstr>'Detail Verwarm San Vent'!Art_62.00.</vt:lpstr>
      <vt:lpstr>'Detail Verwarm San Vent'!Art_62.10.</vt:lpstr>
      <vt:lpstr>'Detail Verwarm San Vent'!Art_62.11.</vt:lpstr>
      <vt:lpstr>'Detail Verwarm San Vent'!Art_62.20.</vt:lpstr>
      <vt:lpstr>'Detail Verwarm San Vent'!Art_62.21.</vt:lpstr>
      <vt:lpstr>'Detail Verwarm San Vent'!Art_62.21.10.</vt:lpstr>
      <vt:lpstr>'Detail Verwarm San Vent'!Art_62.30.</vt:lpstr>
      <vt:lpstr>'Detail Verwarm San Vent'!Art_62.31.</vt:lpstr>
      <vt:lpstr>'Detail Verwarm San Vent'!Art_62.32.</vt:lpstr>
      <vt:lpstr>'Detail Verwarm San Vent'!Art_62.40.</vt:lpstr>
      <vt:lpstr>'Detail Verwarm San Vent'!Art_62.42.</vt:lpstr>
      <vt:lpstr>'Detail Verwarm San Vent'!Art_62.42.20.</vt:lpstr>
      <vt:lpstr>'Detail Verwarm San Vent'!Art_62.50.</vt:lpstr>
      <vt:lpstr>'Detail Verwarm San Vent'!Art_62.51.</vt:lpstr>
      <vt:lpstr>'Detail Verwarm San Vent'!Art_62.52.</vt:lpstr>
      <vt:lpstr>'Detail Verwarm San Vent'!Art_62.53.</vt:lpstr>
      <vt:lpstr>'Detail Verwarm San Vent'!Art_62.60.</vt:lpstr>
      <vt:lpstr>'Detail Verwarm San Vent'!Art_62.62.</vt:lpstr>
      <vt:lpstr>'Detail Verwarm San Vent'!Art_62.62.10.</vt:lpstr>
      <vt:lpstr>'Detail Verwarm San Vent'!Art_62.63.</vt:lpstr>
      <vt:lpstr>'Detail Verwarm San Vent'!Art_62.63.10.</vt:lpstr>
      <vt:lpstr>'Detail Verwarm San Vent'!Art_62.70.</vt:lpstr>
      <vt:lpstr>'Detail Verwarm San Vent'!Art_62.71.</vt:lpstr>
      <vt:lpstr>'Detail Verwarm San Vent'!Art_64.</vt:lpstr>
      <vt:lpstr>'Detail Verwarm San Vent'!Art_64.00.</vt:lpstr>
      <vt:lpstr>'Detail Verwarm San Vent'!Art_64.10.</vt:lpstr>
      <vt:lpstr>'Detail Verwarm San Vent'!Art_64.11.</vt:lpstr>
      <vt:lpstr>'Detail Verwarm San Vent'!Art_64.13.</vt:lpstr>
      <vt:lpstr>'Detail Verwarm San Vent'!Art_64.20.</vt:lpstr>
      <vt:lpstr>'Detail Verwarm San Vent'!Art_64.21.</vt:lpstr>
      <vt:lpstr>'Detail Verwarm San Vent'!Art_64.22.</vt:lpstr>
      <vt:lpstr>'Detail Verwarm San Vent'!Art_64.40.</vt:lpstr>
      <vt:lpstr>'Detail Verwarm San Vent'!Art_65.</vt:lpstr>
      <vt:lpstr>'Detail Verwarm San Vent'!Art_65.00.</vt:lpstr>
      <vt:lpstr>'Detail Verwarm San Vent'!Art_65.02.</vt:lpstr>
      <vt:lpstr>'Detail Verwarm San Vent'!Art_65.20.</vt:lpstr>
      <vt:lpstr>'Detail Verwarm San Vent'!Art_65.21.</vt:lpstr>
      <vt:lpstr>'Detail Verwarm San Vent'!Art_65.21.20.</vt:lpstr>
      <vt:lpstr>'Detail Verwarm San Vent'!Art_65.30.</vt:lpstr>
      <vt:lpstr>'Detail Verwarm San Vent'!Art_65.31.</vt:lpstr>
      <vt:lpstr>'Detail Verwarm San Vent'!Art_65.31.30.</vt:lpstr>
      <vt:lpstr>'Detail Verwarm San Vent'!Art_65.32.</vt:lpstr>
      <vt:lpstr>'Detail Verwarm San Vent'!Art_65.33.</vt:lpstr>
      <vt:lpstr>'Detail Verwarm San Vent'!Art_65.34.</vt:lpstr>
      <vt:lpstr>'Detail Verwarm San Vent'!Art_65.40.</vt:lpstr>
      <vt:lpstr>'Detail Verwarm San Vent'!Art_65.41.</vt:lpstr>
      <vt:lpstr>'Detail Verwarm San Vent'!Art_65.42.</vt:lpstr>
      <vt:lpstr>'Detail Verwarm San Vent'!Art_65.43.</vt:lpstr>
      <vt:lpstr>'Detail Verwarm San Vent'!Art_65.44.</vt:lpstr>
      <vt:lpstr>'Detail Verwarm San Vent'!Art_65.45.</vt:lpstr>
      <vt:lpstr>'Detail Verwarm San Vent'!Art_65.46.</vt:lpstr>
      <vt:lpstr>'Detail Verwarm San Vent'!Art_65.47.</vt:lpstr>
      <vt:lpstr>'Detail Verwarm San Vent'!Art_65.50.</vt:lpstr>
      <vt:lpstr>'Detail Verwarm San Vent'!Art_65.52.</vt:lpstr>
      <vt:lpstr>'Detail Verwarm San Vent'!Art_65.52.01.</vt:lpstr>
      <vt:lpstr>'Detail Verwarm San Vent'!Art_65.52.02.</vt:lpstr>
      <vt:lpstr>'Detail Verwarm San Vent'!Art_65.60.</vt:lpstr>
      <vt:lpstr>'Detail Verwarm San Vent'!Art_65.62.</vt:lpstr>
      <vt:lpstr>'Detail Verwarm San Vent'!Art_65.63.</vt:lpstr>
      <vt:lpstr>'Detail Verwarm San Vent'!Art_65.64.</vt:lpstr>
      <vt:lpstr>'Detail Verwarm San Vent'!Art_67.</vt:lpstr>
      <vt:lpstr>'Detail Verwarm San Vent'!Art_67.00.</vt:lpstr>
      <vt:lpstr>'Detail Verwarm San Vent'!Art_67.10.</vt:lpstr>
      <vt:lpstr>Art_67.11.</vt:lpstr>
      <vt:lpstr>Art_67.12.</vt:lpstr>
      <vt:lpstr>'Detail Verwarm San Vent'!Art_67.13.</vt:lpstr>
      <vt:lpstr>'Detail Verwarm San Vent'!Art_68.</vt:lpstr>
      <vt:lpstr>'Detail Verwarm San Vent'!Art_68.00.</vt:lpstr>
      <vt:lpstr>'Detail Verwarm San Vent'!Art_68.02.</vt:lpstr>
      <vt:lpstr>'Detail Verwarm San Vent'!Art_68.02.10.</vt:lpstr>
      <vt:lpstr>'Detail Verwarm San Vent'!Art_68.02.20.</vt:lpstr>
      <vt:lpstr>'Detail Verwarm San Vent'!Art_68.10.</vt:lpstr>
      <vt:lpstr>'Detail Verwarm San Vent'!Art_68.11.</vt:lpstr>
      <vt:lpstr>'Detail Verwarm San Vent'!Art_68.11.10.</vt:lpstr>
      <vt:lpstr>'Detail Verwarm San Vent'!Art_68.11.12.</vt:lpstr>
      <vt:lpstr>'Detail Verwarm San Vent'!Art_68.11.13.</vt:lpstr>
      <vt:lpstr>'Detail Verwarm San Vent'!Art_68.11.14.</vt:lpstr>
      <vt:lpstr>'Detail Verwarm San Vent'!Art_68.13.</vt:lpstr>
      <vt:lpstr>'Detail Verwarm San Vent'!Art_68.15.</vt:lpstr>
      <vt:lpstr>'Detail Verwarm San Vent'!Art_68.40.</vt:lpstr>
      <vt:lpstr>'Detail Verwarm San Vent'!Art_68.40.01.</vt:lpstr>
      <vt:lpstr>'Detail Verwarm San Vent'!Art_68.41.</vt:lpstr>
      <vt:lpstr>'Detail Verwarm San Vent'!Art_68.50.</vt:lpstr>
      <vt:lpstr>'Detail Verwarm San Vent'!Art_68.51.</vt:lpstr>
      <vt:lpstr>'Detail Verwarm San Vent'!Art_68.60.</vt:lpstr>
      <vt:lpstr>'Detail Verwarm San Vent'!Art_68.61.</vt:lpstr>
      <vt:lpstr>'Detail Verwarm San Vent'!Art_68.61.11.</vt:lpstr>
      <vt:lpstr>'Detail Verwarm San Vent'!Art_68.61.12.</vt:lpstr>
      <vt:lpstr>'Detail Verwarm San Vent'!Art_68.61.13.</vt:lpstr>
      <vt:lpstr>'Detail Verwarm San Vent'!Art_68.65.</vt:lpstr>
      <vt:lpstr>'Detail Verwarm San Vent'!Art_68.65.10.</vt:lpstr>
      <vt:lpstr>'Detail Verwarm San Vent'!Art_69.</vt:lpstr>
      <vt:lpstr>'Detail Verwarm San Vent'!Art_69.00.</vt:lpstr>
      <vt:lpstr>'Detail Verwarm San Vent'!Art_69.10.</vt:lpstr>
      <vt:lpstr>'Detail Verwarm San Vent'!Art_69.12.</vt:lpstr>
      <vt:lpstr>'Detail Verwarm San Vent'!Art_69.12.20.</vt:lpstr>
      <vt:lpstr>'Detail Verwarm San Vent'!Art_69.20.</vt:lpstr>
      <vt:lpstr>'Detail Verwarm San Vent'!Art_69.21.</vt:lpstr>
      <vt:lpstr>'Samenvatting Verwarm San Vent'!first_cell</vt:lpstr>
      <vt:lpstr>'Samenvatting Verwarm San Vent'!TotalLine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C3Admin Tools</dc:title>
  <dc:subject>Bill of Quantities Detail Template</dc:subject>
  <dc:creator>Desmet Donald</dc:creator>
  <cp:lastModifiedBy>Nicole Drieghe</cp:lastModifiedBy>
  <cp:revision>1</cp:revision>
  <cp:lastPrinted>2023-04-12T16:27:13Z</cp:lastPrinted>
  <dcterms:created xsi:type="dcterms:W3CDTF">1995-09-27T18:13:23Z</dcterms:created>
  <dcterms:modified xsi:type="dcterms:W3CDTF">2023-04-13T12:12:18Z</dcterms:modified>
</cp:coreProperties>
</file>