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\\srvfile2101\3P\Server\Documents\Contracts\2023\300\"/>
    </mc:Choice>
  </mc:AlternateContent>
  <xr:revisionPtr revIDLastSave="0" documentId="13_ncr:1_{5B9899CD-A65E-4696-AEA7-428CA790FB37}" xr6:coauthVersionLast="47" xr6:coauthVersionMax="47" xr10:uidLastSave="{00000000-0000-0000-0000-000000000000}"/>
  <bookViews>
    <workbookView xWindow="29610" yWindow="-15" windowWidth="28110" windowHeight="16440" activeTab="1" xr2:uid="{00000000-000D-0000-FFFF-FFFF00000000}"/>
  </bookViews>
  <sheets>
    <sheet name="Detail Onderbouw &amp; Ruwbouw" sheetId="2" r:id="rId1"/>
    <sheet name="Samenvatting Ruwbouw" sheetId="19" r:id="rId2"/>
  </sheets>
  <externalReferences>
    <externalReference r:id="rId3"/>
  </externalReferences>
  <definedNames>
    <definedName name="_xlnm.Print_Area" localSheetId="1">'Samenvatting Ruwbouw'!$A:$J</definedName>
    <definedName name="_xlnm.Print_Titles" localSheetId="1">'Samenvatting Ruwbouw'!$1:$1</definedName>
    <definedName name="Art_00.">'Detail Onderbouw &amp; Ruwbouw'!$A$10:$I$10</definedName>
    <definedName name="Art_00.10.">'Detail Onderbouw &amp; Ruwbouw'!$A$13:$I$13</definedName>
    <definedName name="Art_00.20.">'Detail Onderbouw &amp; Ruwbouw'!$A$16:$I$16</definedName>
    <definedName name="Art_00.21.">'Detail Onderbouw &amp; Ruwbouw'!$A$19:$I$19</definedName>
    <definedName name="Art_00.23.">'Detail Onderbouw &amp; Ruwbouw'!$A$148:$I$148</definedName>
    <definedName name="Art_00.24.">'Detail Onderbouw &amp; Ruwbouw'!$A$22:$I$22</definedName>
    <definedName name="Art_00.25.">'Detail Onderbouw &amp; Ruwbouw'!$A$25:$I$25</definedName>
    <definedName name="Art_00.30.">'Detail Onderbouw &amp; Ruwbouw'!$A$28:$I$28</definedName>
    <definedName name="Art_00.31.">'Detail Onderbouw &amp; Ruwbouw'!$A$31:$I$31</definedName>
    <definedName name="Art_00.32.">'Detail Onderbouw &amp; Ruwbouw'!$A$34:$I$34</definedName>
    <definedName name="Art_00.33.">'Detail Onderbouw &amp; Ruwbouw'!$A$37:$I$37</definedName>
    <definedName name="Art_00.34.">'Detail Onderbouw &amp; Ruwbouw'!$A$40:$I$40</definedName>
    <definedName name="Art_00.35.">'Detail Onderbouw &amp; Ruwbouw'!$A$43:$I$43</definedName>
    <definedName name="Art_01.">'Detail Onderbouw &amp; Ruwbouw'!$A$46:$I$46</definedName>
    <definedName name="Art_01.00.">'Detail Onderbouw &amp; Ruwbouw'!$A$49:$I$49</definedName>
    <definedName name="Art_01.01.">'Detail Onderbouw &amp; Ruwbouw'!$A$52:$I$53</definedName>
    <definedName name="Art_01.02.">'Detail Onderbouw &amp; Ruwbouw'!$A$56:$I$57</definedName>
    <definedName name="Art_01.03.">'Detail Onderbouw &amp; Ruwbouw'!$A$60:$I$61</definedName>
    <definedName name="Art_01.04.">'Detail Onderbouw &amp; Ruwbouw'!$A$64:$I$65</definedName>
    <definedName name="Art_01.05.">'Detail Onderbouw &amp; Ruwbouw'!$A$68:$I$69</definedName>
    <definedName name="Art_01.06.">'Detail Onderbouw &amp; Ruwbouw'!$A$72:$I$73</definedName>
    <definedName name="Art_01.07.">'Detail Onderbouw &amp; Ruwbouw'!$A$76:$I$77</definedName>
    <definedName name="Art_01.08.">'Detail Onderbouw &amp; Ruwbouw'!$A$80:$I$81</definedName>
    <definedName name="Art_01.20.">'Detail Onderbouw &amp; Ruwbouw'!$A$84:$I$84</definedName>
    <definedName name="Art_01.21.">'Detail Onderbouw &amp; Ruwbouw'!$A$87:$I$88</definedName>
    <definedName name="Art_01.22.">'Detail Onderbouw &amp; Ruwbouw'!$A$151:$I$152</definedName>
    <definedName name="Art_01.23.">'Detail Onderbouw &amp; Ruwbouw'!$A$91:$I$92</definedName>
    <definedName name="Art_01.25.">'Detail Onderbouw &amp; Ruwbouw'!$A$95:$I$96</definedName>
    <definedName name="Art_01.30.">'Detail Onderbouw &amp; Ruwbouw'!$A$99:$I$99</definedName>
    <definedName name="Art_01.31.">'Detail Onderbouw &amp; Ruwbouw'!$A$102:$I$103</definedName>
    <definedName name="Art_01.32.">'Detail Onderbouw &amp; Ruwbouw'!$A$106:$I$107</definedName>
    <definedName name="Art_01.33.">'Detail Onderbouw &amp; Ruwbouw'!$A$110:$I$111</definedName>
    <definedName name="Art_01.40.">'Detail Onderbouw &amp; Ruwbouw'!$A$114:$I$115</definedName>
    <definedName name="Art_02.">'Detail Onderbouw &amp; Ruwbouw'!$A$118:$I$118</definedName>
    <definedName name="Art_02.00.">'Detail Onderbouw &amp; Ruwbouw'!$A$121:$I$121</definedName>
    <definedName name="Art_02.10.">'Detail Onderbouw &amp; Ruwbouw'!$A$155:$I$155</definedName>
    <definedName name="Art_02.11.">'Detail Onderbouw &amp; Ruwbouw'!$A$158:$I$159</definedName>
    <definedName name="Art_02.40.">'Detail Onderbouw &amp; Ruwbouw'!$A$162:$I$162</definedName>
    <definedName name="Art_02.50.">'Detail Onderbouw &amp; Ruwbouw'!$A$165:$I$165</definedName>
    <definedName name="Art_02.52.">'Detail Onderbouw &amp; Ruwbouw'!$A$168:$I$169</definedName>
    <definedName name="Art_02.80.">'Detail Onderbouw &amp; Ruwbouw'!$A$124:$I$124</definedName>
    <definedName name="Art_02.81.">'Detail Onderbouw &amp; Ruwbouw'!$A$127:$I$127</definedName>
    <definedName name="Art_02.81.10.">'Detail Onderbouw &amp; Ruwbouw'!$A$130:$I$131</definedName>
    <definedName name="Art_02.82.">'Detail Onderbouw &amp; Ruwbouw'!$A$172:$I$173</definedName>
    <definedName name="Art_03.">'Detail Onderbouw &amp; Ruwbouw'!$A$176:$I$176</definedName>
    <definedName name="Art_03.00.">'Detail Onderbouw &amp; Ruwbouw'!$A$179:$I$179</definedName>
    <definedName name="Art_03.01.">'Detail Onderbouw &amp; Ruwbouw'!$A$182:$I$182</definedName>
    <definedName name="Art_03.02.">'Detail Onderbouw &amp; Ruwbouw'!$A$185:$I$185</definedName>
    <definedName name="Art_03.03.">'Detail Onderbouw &amp; Ruwbouw'!$A$188:$I$188</definedName>
    <definedName name="Art_03.10.">'Detail Onderbouw &amp; Ruwbouw'!$A$191:$I$191</definedName>
    <definedName name="Art_03.11.">'Detail Onderbouw &amp; Ruwbouw'!$A$194:$I$194</definedName>
    <definedName name="Art_03.11.20.">'Detail Onderbouw &amp; Ruwbouw'!$A$197:$I$198</definedName>
    <definedName name="Art_03.11.40.">'Detail Onderbouw &amp; Ruwbouw'!$A$201:$I$202</definedName>
    <definedName name="Art_03.20.">'Detail Onderbouw &amp; Ruwbouw'!$A$205:$I$205</definedName>
    <definedName name="Art_03.21.">'Detail Onderbouw &amp; Ruwbouw'!$A$208:$I$208</definedName>
    <definedName name="Art_03.21.10.">'Detail Onderbouw &amp; Ruwbouw'!$A$211:$I$225</definedName>
    <definedName name="Art_03.21.30.">'Detail Onderbouw &amp; Ruwbouw'!$A$228:$I$233</definedName>
    <definedName name="Art_03.22.">'Detail Onderbouw &amp; Ruwbouw'!$A$236:$I$236</definedName>
    <definedName name="Art_03.22.20.">'Detail Onderbouw &amp; Ruwbouw'!$A$239:$I$239</definedName>
    <definedName name="Art_03.22.22.">'Detail Onderbouw &amp; Ruwbouw'!$A$242:$I$251</definedName>
    <definedName name="Art_03.22.30.">'Detail Onderbouw &amp; Ruwbouw'!$A$254:$I$259</definedName>
    <definedName name="Art_03.40.">'Detail Onderbouw &amp; Ruwbouw'!$A$262:$I$262</definedName>
    <definedName name="Art_03.41.">'Detail Onderbouw &amp; Ruwbouw'!$A$265:$I$274</definedName>
    <definedName name="Art_03.50.">'Detail Onderbouw &amp; Ruwbouw'!$A$277:$I$277</definedName>
    <definedName name="Art_03.51.">'Detail Onderbouw &amp; Ruwbouw'!$A$280:$I$281</definedName>
    <definedName name="Art_03.53.">'Detail Onderbouw &amp; Ruwbouw'!$A$284:$I$284</definedName>
    <definedName name="Art_03.53.10.">'Detail Onderbouw &amp; Ruwbouw'!$A$287:$I$293</definedName>
    <definedName name="Art_03.60.">'Detail Onderbouw &amp; Ruwbouw'!$A$296:$I$296</definedName>
    <definedName name="Art_03.61.">'Detail Onderbouw &amp; Ruwbouw'!$A$299:$I$299</definedName>
    <definedName name="Art_03.61.20.">'Detail Onderbouw &amp; Ruwbouw'!$A$302:$I$303</definedName>
    <definedName name="Art_03.70.">'Detail Onderbouw &amp; Ruwbouw'!$A$306:$I$306</definedName>
    <definedName name="Art_03.71.">'Detail Onderbouw &amp; Ruwbouw'!$A$309:$I$310</definedName>
    <definedName name="Art_04.">'Detail Onderbouw &amp; Ruwbouw'!$A$134:$I$134</definedName>
    <definedName name="Art_04.00.">'Detail Onderbouw &amp; Ruwbouw'!$A$137:$I$137</definedName>
    <definedName name="Art_04.10.">'Detail Onderbouw &amp; Ruwbouw'!$A$140:$I$141</definedName>
    <definedName name="Art_04.20.">'Detail Onderbouw &amp; Ruwbouw'!$A$313:$I$314</definedName>
    <definedName name="Art_04.30.">'Detail Onderbouw &amp; Ruwbouw'!$A$317:$I$318</definedName>
    <definedName name="Art_04.40.">'Detail Onderbouw &amp; Ruwbouw'!$A$144:$I$145</definedName>
    <definedName name="Art_05.">'Detail Onderbouw &amp; Ruwbouw'!$A$321:$I$321</definedName>
    <definedName name="Art_05.00.">'Detail Onderbouw &amp; Ruwbouw'!$A$324:$I$324</definedName>
    <definedName name="Art_05.10.">'Detail Onderbouw &amp; Ruwbouw'!$A$327:$I$327</definedName>
    <definedName name="Art_05.12.">'Detail Onderbouw &amp; Ruwbouw'!$A$330:$I$336</definedName>
    <definedName name="Art_10.">'Detail Onderbouw &amp; Ruwbouw'!$A$339:$I$339</definedName>
    <definedName name="Art_10.00.">'Detail Onderbouw &amp; Ruwbouw'!$A$342:$I$342</definedName>
    <definedName name="Art_10.20.">'Detail Onderbouw &amp; Ruwbouw'!$A$345:$I$345</definedName>
    <definedName name="Art_10.21.">'Detail Onderbouw &amp; Ruwbouw'!$A$348:$I$349</definedName>
    <definedName name="Art_10.23.">'Detail Onderbouw &amp; Ruwbouw'!$A$352:$I$353</definedName>
    <definedName name="Art_10.24.">'Detail Onderbouw &amp; Ruwbouw'!$A$356:$I$356</definedName>
    <definedName name="Art_10.24.10.">'Detail Onderbouw &amp; Ruwbouw'!$A$359:$I$365</definedName>
    <definedName name="Art_10.24.20.">'Detail Onderbouw &amp; Ruwbouw'!$A$368:$I$374</definedName>
    <definedName name="Art_15.">'Detail Onderbouw &amp; Ruwbouw'!$A$377:$I$377</definedName>
    <definedName name="Art_15.00.">'Detail Onderbouw &amp; Ruwbouw'!$A$380:$I$380</definedName>
    <definedName name="Art_15.20.">'Detail Onderbouw &amp; Ruwbouw'!$A$383:$I$383</definedName>
    <definedName name="Art_15.21.">'Detail Onderbouw &amp; Ruwbouw'!$A$386:$I$392</definedName>
    <definedName name="Art_15.30.">'Detail Onderbouw &amp; Ruwbouw'!$A$395:$I$395</definedName>
    <definedName name="Art_15.31.">'Detail Onderbouw &amp; Ruwbouw'!$A$398:$I$398</definedName>
    <definedName name="Art_15.31.10.">'Detail Onderbouw &amp; Ruwbouw'!$A$401:$I$402</definedName>
    <definedName name="Art_16.">'Detail Onderbouw &amp; Ruwbouw'!$A$405:$I$405</definedName>
    <definedName name="Art_16.00.">'Detail Onderbouw &amp; Ruwbouw'!$A$408:$I$408</definedName>
    <definedName name="Art_16.30.">'Detail Onderbouw &amp; Ruwbouw'!$A$411:$I$411</definedName>
    <definedName name="Art_16.31.">'Detail Onderbouw &amp; Ruwbouw'!$A$414:$I$420</definedName>
    <definedName name="Art_17.">'Detail Onderbouw &amp; Ruwbouw'!$A$423:$I$423</definedName>
    <definedName name="Art_17.00.">'Detail Onderbouw &amp; Ruwbouw'!$A$426:$I$426</definedName>
    <definedName name="Art_17.10.">'Detail Onderbouw &amp; Ruwbouw'!$A$429:$I$429</definedName>
    <definedName name="Art_17.12.">'Detail Onderbouw &amp; Ruwbouw'!$A$432:$I$432</definedName>
    <definedName name="Art_17.12.30.">'Detail Onderbouw &amp; Ruwbouw'!$A$435:$I$435</definedName>
    <definedName name="Art_17.12.31.">'Detail Onderbouw &amp; Ruwbouw'!$A$438:$I$448</definedName>
    <definedName name="Art_17.12.32.">'Detail Onderbouw &amp; Ruwbouw'!$A$451:$I$459</definedName>
    <definedName name="Art_17.12.34.">'Detail Onderbouw &amp; Ruwbouw'!$A$462:$I$468</definedName>
    <definedName name="Art_17.34.">'Detail Onderbouw &amp; Ruwbouw'!$A$471:$I$471</definedName>
    <definedName name="Art_17.34.10.">'Detail Onderbouw &amp; Ruwbouw'!$A$474:$I$474</definedName>
    <definedName name="Art_17.34.12.">'Detail Onderbouw &amp; Ruwbouw'!$A$477:$I$483</definedName>
    <definedName name="Art_17.60.">'Detail Onderbouw &amp; Ruwbouw'!$A$486:$I$486</definedName>
    <definedName name="Art_17.61.">'Detail Onderbouw &amp; Ruwbouw'!$A$489:$I$495</definedName>
    <definedName name="Art_17.70.">'Detail Onderbouw &amp; Ruwbouw'!$A$498:$I$498</definedName>
    <definedName name="Art_17.71.">'Detail Onderbouw &amp; Ruwbouw'!$A$501:$I$501</definedName>
    <definedName name="Art_17.71.10.">'Detail Onderbouw &amp; Ruwbouw'!$A$504:$I$510</definedName>
    <definedName name="Art_17.72.">'Detail Onderbouw &amp; Ruwbouw'!$A$513:$I$514</definedName>
    <definedName name="Art_17.73.">'Detail Onderbouw &amp; Ruwbouw'!$A$517:$I$523</definedName>
    <definedName name="Art_17.74.">'Detail Onderbouw &amp; Ruwbouw'!$A$526:$I$532</definedName>
    <definedName name="Art_17.84.">'Detail Onderbouw &amp; Ruwbouw'!$A$535:$I$541</definedName>
    <definedName name="Art_20.">'Detail Onderbouw &amp; Ruwbouw'!$A$544:$I$544</definedName>
    <definedName name="Art_20.00.">'Detail Onderbouw &amp; Ruwbouw'!$A$547:$I$547</definedName>
    <definedName name="Art_20.01.">'Detail Onderbouw &amp; Ruwbouw'!$A$550:$I$550</definedName>
    <definedName name="Art_20.10.">'Detail Onderbouw &amp; Ruwbouw'!$A$553:$I$553</definedName>
    <definedName name="Art_20.11.">'Detail Onderbouw &amp; Ruwbouw'!$A$556:$I$556</definedName>
    <definedName name="Art_20.11.10.">'Detail Onderbouw &amp; Ruwbouw'!$A$559:$I$560</definedName>
    <definedName name="Art_20.12.">'Detail Onderbouw &amp; Ruwbouw'!$A$563:$I$563</definedName>
    <definedName name="Art_20.12.10.">'Detail Onderbouw &amp; Ruwbouw'!$A$566:$I$566</definedName>
    <definedName name="Art_20.12.12.">'Detail Onderbouw &amp; Ruwbouw'!$A$569:$I$570</definedName>
    <definedName name="Art_20.12.20.">'Detail Onderbouw &amp; Ruwbouw'!$A$573:$I$573</definedName>
    <definedName name="Art_20.12.21.">'Detail Onderbouw &amp; Ruwbouw'!$A$576:$I$577</definedName>
    <definedName name="Art_20.12.22.">'Detail Onderbouw &amp; Ruwbouw'!$A$580:$I$581</definedName>
    <definedName name="Art_20.50.">'Detail Onderbouw &amp; Ruwbouw'!$A$584:$I$584</definedName>
    <definedName name="Art_20.51.">'Detail Onderbouw &amp; Ruwbouw'!$A$587:$I$587</definedName>
    <definedName name="Art_20.51.20.">'Detail Onderbouw &amp; Ruwbouw'!$A$590:$I$603</definedName>
    <definedName name="Art_22.">'Detail Onderbouw &amp; Ruwbouw'!$A$606:$I$606</definedName>
    <definedName name="Art_22.00.">'Detail Onderbouw &amp; Ruwbouw'!$A$609:$I$609</definedName>
    <definedName name="Art_22.01.">'Detail Onderbouw &amp; Ruwbouw'!$A$612:$I$612</definedName>
    <definedName name="Art_22.10.">'Detail Onderbouw &amp; Ruwbouw'!$A$615:$I$615</definedName>
    <definedName name="Art_22.11.">'Detail Onderbouw &amp; Ruwbouw'!$A$618:$I$618</definedName>
    <definedName name="Art_22.11.10.">'Detail Onderbouw &amp; Ruwbouw'!$A$621:$I$621</definedName>
    <definedName name="Art_22.11.11.">'Detail Onderbouw &amp; Ruwbouw'!$A$624:$I$625</definedName>
    <definedName name="Art_22.11.20.">'Detail Onderbouw &amp; Ruwbouw'!$A$628:$I$628</definedName>
    <definedName name="Art_22.14.">'Detail Onderbouw &amp; Ruwbouw'!$A$631:$I$631</definedName>
    <definedName name="Art_22.20.">'Detail Onderbouw &amp; Ruwbouw'!$A$634:$I$634</definedName>
    <definedName name="Art_22.21.">'Detail Onderbouw &amp; Ruwbouw'!$A$637:$I$637</definedName>
    <definedName name="Art_22.21.10.">'Detail Onderbouw &amp; Ruwbouw'!$A$640:$I$640</definedName>
    <definedName name="Art_22.30.">'Detail Onderbouw &amp; Ruwbouw'!$A$643:$I$643</definedName>
    <definedName name="Art_22.31.">'Detail Onderbouw &amp; Ruwbouw'!$A$646:$I$656</definedName>
    <definedName name="Art_23">'Detail Onderbouw &amp; Ruwbouw'!$A$659:$I$659</definedName>
    <definedName name="Art_23.00.">'Detail Onderbouw &amp; Ruwbouw'!$A$662:$I$662</definedName>
    <definedName name="Art_23.01.">'Detail Onderbouw &amp; Ruwbouw'!$A$665:$I$665</definedName>
    <definedName name="Art_23.11.">'Detail Onderbouw &amp; Ruwbouw'!$A$668:$I$674</definedName>
    <definedName name="Art_26.">'Detail Onderbouw &amp; Ruwbouw'!$A$677:$I$677</definedName>
    <definedName name="Art_26.00.">'Detail Onderbouw &amp; Ruwbouw'!$A$680:$I$680</definedName>
    <definedName name="Art_26.01.">'Detail Onderbouw &amp; Ruwbouw'!$A$683:$I$684</definedName>
    <definedName name="Art_26.10.">'Detail Onderbouw &amp; Ruwbouw'!$A$687:$I$687</definedName>
    <definedName name="Art_26.11.">'Detail Onderbouw &amp; Ruwbouw'!$A$690:$I$690</definedName>
    <definedName name="Art_26.11.10.">'Detail Onderbouw &amp; Ruwbouw'!$A$693:$I$693</definedName>
    <definedName name="Art_26.11.11.">'Detail Onderbouw &amp; Ruwbouw'!$A$696:$I$702</definedName>
    <definedName name="Art_26.11.12.">'Detail Onderbouw &amp; Ruwbouw'!$A$705:$I$711</definedName>
    <definedName name="Art_26.11.20.">'Detail Onderbouw &amp; Ruwbouw'!$A$714:$I$714</definedName>
    <definedName name="Art_26.11.21.">'Detail Onderbouw &amp; Ruwbouw'!$A$717:$I$723</definedName>
    <definedName name="Art_26.12.">'Detail Onderbouw &amp; Ruwbouw'!$A$726:$I$726</definedName>
    <definedName name="Art_26.12.10.">'Detail Onderbouw &amp; Ruwbouw'!$A$729:$I$729</definedName>
    <definedName name="Art_26.12.11.">'Detail Onderbouw &amp; Ruwbouw'!$A$732:$I$733</definedName>
    <definedName name="Art_26.12.12.">'Detail Onderbouw &amp; Ruwbouw'!$A$736:$I$737</definedName>
    <definedName name="Art_26.20.">'Detail Onderbouw &amp; Ruwbouw'!$A$740:$I$740</definedName>
    <definedName name="Art_26.23.">'Detail Onderbouw &amp; Ruwbouw'!$A$743:$I$749</definedName>
    <definedName name="Art_26.30.">'Detail Onderbouw &amp; Ruwbouw'!$A$752:$I$752</definedName>
    <definedName name="Art_26.34.">'Detail Onderbouw &amp; Ruwbouw'!$A$755:$I$756</definedName>
    <definedName name="Art_26.36.">'Detail Onderbouw &amp; Ruwbouw'!$A$759:$I$759</definedName>
    <definedName name="Art_26.36.40.">'Detail Onderbouw &amp; Ruwbouw'!$A$762:$I$762</definedName>
    <definedName name="Art_26.36.44.">'Detail Onderbouw &amp; Ruwbouw'!$A$765:$I$771</definedName>
    <definedName name="Art_27.">'Detail Onderbouw &amp; Ruwbouw'!$A$774:$I$774</definedName>
    <definedName name="Art_27.00.">'Detail Onderbouw &amp; Ruwbouw'!$A$777:$I$777</definedName>
    <definedName name="Art_27.02.">'Detail Onderbouw &amp; Ruwbouw'!$A$780:$I$781</definedName>
    <definedName name="Art_27.10.">'Detail Onderbouw &amp; Ruwbouw'!$A$784:$I$784</definedName>
    <definedName name="Art_27.11.">'Detail Onderbouw &amp; Ruwbouw'!$A$787:$I$793</definedName>
    <definedName name="Art_61.12.04.">#REF!</definedName>
    <definedName name="Art_61.21.13.">#REF!</definedName>
    <definedName name="Art_61.72.11.">#REF!</definedName>
    <definedName name="Art_67.11.">#REF!</definedName>
    <definedName name="Art_67.12.">#REF!</definedName>
    <definedName name="Art_70.">'Detail Onderbouw &amp; Ruwbouw'!#REF!</definedName>
    <definedName name="Art_70.00.">'Detail Onderbouw &amp; Ruwbouw'!#REF!</definedName>
    <definedName name="Art_70.10.">'Detail Onderbouw &amp; Ruwbouw'!#REF!</definedName>
    <definedName name="Art_70.11.">'Detail Onderbouw &amp; Ruwbouw'!#REF!</definedName>
    <definedName name="Art_70.12.">'Detail Onderbouw &amp; Ruwbouw'!#REF!</definedName>
    <definedName name="Art_70.14.">'Detail Onderbouw &amp; Ruwbouw'!#REF!</definedName>
    <definedName name="Art_70.15.">'Detail Onderbouw &amp; Ruwbouw'!#REF!</definedName>
    <definedName name="Art_70.20.">'Detail Onderbouw &amp; Ruwbouw'!#REF!</definedName>
    <definedName name="Art_70.21.">'Detail Onderbouw &amp; Ruwbouw'!#REF!</definedName>
    <definedName name="Art_70.30.">'Detail Onderbouw &amp; Ruwbouw'!#REF!</definedName>
    <definedName name="Art_70.31.">'Detail Onderbouw &amp; Ruwbouw'!#REF!</definedName>
    <definedName name="Art_70.32.">'Detail Onderbouw &amp; Ruwbouw'!#REF!</definedName>
    <definedName name="Art_70.33.">'Detail Onderbouw &amp; Ruwbouw'!#REF!</definedName>
    <definedName name="Art_70.40.">'Detail Onderbouw &amp; Ruwbouw'!#REF!</definedName>
    <definedName name="Art_70.41.">'Detail Onderbouw &amp; Ruwbouw'!#REF!</definedName>
    <definedName name="Art_70.43.">'Detail Onderbouw &amp; Ruwbouw'!#REF!</definedName>
    <definedName name="Art_70.44.">'Detail Onderbouw &amp; Ruwbouw'!#REF!</definedName>
    <definedName name="Art_70.45.">'Detail Onderbouw &amp; Ruwbouw'!#REF!</definedName>
    <definedName name="Art_70.46.">'Detail Onderbouw &amp; Ruwbouw'!#REF!</definedName>
    <definedName name="Art_70.50.">'Detail Onderbouw &amp; Ruwbouw'!#REF!</definedName>
    <definedName name="Art_70.51.">'Detail Onderbouw &amp; Ruwbouw'!#REF!</definedName>
    <definedName name="Art_70.53.">'Detail Onderbouw &amp; Ruwbouw'!#REF!</definedName>
    <definedName name="Art_70.54.">'Detail Onderbouw &amp; Ruwbouw'!#REF!</definedName>
    <definedName name="Art_70.56.">'Detail Onderbouw &amp; Ruwbouw'!#REF!</definedName>
    <definedName name="Art_70.57.">'Detail Onderbouw &amp; Ruwbouw'!#REF!</definedName>
    <definedName name="Art_70.60.">'Detail Onderbouw &amp; Ruwbouw'!#REF!</definedName>
    <definedName name="Art_70.61.">'Detail Onderbouw &amp; Ruwbouw'!#REF!</definedName>
    <definedName name="Art_70.62.">'Detail Onderbouw &amp; Ruwbouw'!#REF!</definedName>
    <definedName name="Art_70.65.">'Detail Onderbouw &amp; Ruwbouw'!#REF!</definedName>
    <definedName name="Art_71.">'Detail Onderbouw &amp; Ruwbouw'!#REF!</definedName>
    <definedName name="Art_71.00.">'Detail Onderbouw &amp; Ruwbouw'!#REF!</definedName>
    <definedName name="Art_71.10.">'Detail Onderbouw &amp; Ruwbouw'!#REF!</definedName>
    <definedName name="Art_71.11.">'Detail Onderbouw &amp; Ruwbouw'!#REF!</definedName>
    <definedName name="Art_71.13.">'Detail Onderbouw &amp; Ruwbouw'!#REF!</definedName>
    <definedName name="Art_71.20.">'Detail Onderbouw &amp; Ruwbouw'!#REF!</definedName>
    <definedName name="Art_71.21.">'Detail Onderbouw &amp; Ruwbouw'!#REF!</definedName>
    <definedName name="Art_71.23.">'Detail Onderbouw &amp; Ruwbouw'!#REF!</definedName>
    <definedName name="Art_71.30.">'Detail Onderbouw &amp; Ruwbouw'!#REF!</definedName>
    <definedName name="Art_71.36.">'Detail Onderbouw &amp; Ruwbouw'!#REF!</definedName>
    <definedName name="Art_71.38.">'Detail Onderbouw &amp; Ruwbouw'!#REF!</definedName>
    <definedName name="Art_71.39.">'Detail Onderbouw &amp; Ruwbouw'!#REF!</definedName>
    <definedName name="Art_71.40.">'Detail Onderbouw &amp; Ruwbouw'!#REF!</definedName>
    <definedName name="Art_71.41.01">'Detail Onderbouw &amp; Ruwbouw'!#REF!</definedName>
    <definedName name="Art_71.41.02">'Detail Onderbouw &amp; Ruwbouw'!#REF!</definedName>
    <definedName name="Art_71.43.">'Detail Onderbouw &amp; Ruwbouw'!#REF!</definedName>
    <definedName name="Art_72.">'Detail Onderbouw &amp; Ruwbouw'!#REF!</definedName>
    <definedName name="Art_72.00.">'Detail Onderbouw &amp; Ruwbouw'!#REF!</definedName>
    <definedName name="Art_72.10.">'Detail Onderbouw &amp; Ruwbouw'!#REF!</definedName>
    <definedName name="Art_72.11.">'Detail Onderbouw &amp; Ruwbouw'!#REF!</definedName>
    <definedName name="Art_72.12.">'Detail Onderbouw &amp; Ruwbouw'!#REF!</definedName>
    <definedName name="Art_72.30.">'Detail Onderbouw &amp; Ruwbouw'!#REF!</definedName>
    <definedName name="Art_72.31.">'Detail Onderbouw &amp; Ruwbouw'!#REF!</definedName>
    <definedName name="Art_72.31.01.">'Detail Onderbouw &amp; Ruwbouw'!#REF!</definedName>
    <definedName name="Art_72.31.02.">'Detail Onderbouw &amp; Ruwbouw'!#REF!</definedName>
    <definedName name="Art_72.31.04.">'Detail Onderbouw &amp; Ruwbouw'!#REF!</definedName>
    <definedName name="Art_72.50.">'Detail Onderbouw &amp; Ruwbouw'!#REF!</definedName>
    <definedName name="Art_72.51.">'Detail Onderbouw &amp; Ruwbouw'!#REF!</definedName>
    <definedName name="Art_72.55.">'Detail Onderbouw &amp; Ruwbouw'!#REF!</definedName>
    <definedName name="Art_74.">'Detail Onderbouw &amp; Ruwbouw'!#REF!</definedName>
    <definedName name="Art_74.00.">'Detail Onderbouw &amp; Ruwbouw'!#REF!</definedName>
    <definedName name="Art_74.30.">'Detail Onderbouw &amp; Ruwbouw'!#REF!</definedName>
    <definedName name="Art_74.31.">'Detail Onderbouw &amp; Ruwbouw'!#REF!</definedName>
    <definedName name="Art_74.32.">'Detail Onderbouw &amp; Ruwbouw'!#REF!</definedName>
    <definedName name="Art_74.33.">'Detail Onderbouw &amp; Ruwbouw'!#REF!</definedName>
    <definedName name="Art_74.34.">'Detail Onderbouw &amp; Ruwbouw'!#REF!</definedName>
    <definedName name="Art_74.35.">'Detail Onderbouw &amp; Ruwbouw'!#REF!</definedName>
    <definedName name="Art_74.80.">'Detail Onderbouw &amp; Ruwbouw'!#REF!</definedName>
    <definedName name="Art_77.">'Detail Onderbouw &amp; Ruwbouw'!#REF!</definedName>
    <definedName name="Art_77.00.">'Detail Onderbouw &amp; Ruwbouw'!#REF!</definedName>
    <definedName name="Art_77.10.">'Detail Onderbouw &amp; Ruwbouw'!#REF!</definedName>
    <definedName name="Art_77.20.">'Detail Onderbouw &amp; Ruwbouw'!#REF!</definedName>
    <definedName name="Art_77.30.">'Detail Onderbouw &amp; Ruwbouw'!#REF!</definedName>
    <definedName name="Art_77.40.">'Detail Onderbouw &amp; Ruwbouw'!#REF!</definedName>
    <definedName name="Art_77.41.">'Detail Onderbouw &amp; Ruwbouw'!#REF!</definedName>
    <definedName name="Art_77.41.10">'Detail Onderbouw &amp; Ruwbouw'!#REF!</definedName>
    <definedName name="Art_77.41.20">'Detail Onderbouw &amp; Ruwbouw'!#REF!</definedName>
    <definedName name="Art_77.42.">'Detail Onderbouw &amp; Ruwbouw'!#REF!</definedName>
    <definedName name="Art_77.42.10">'Detail Onderbouw &amp; Ruwbouw'!#REF!</definedName>
    <definedName name="Art_77.42.20">'Detail Onderbouw &amp; Ruwbouw'!#REF!</definedName>
    <definedName name="Art_77.60.">'Detail Onderbouw &amp; Ruwbouw'!#REF!</definedName>
    <definedName name="Art_77.62.">'Detail Onderbouw &amp; Ruwbouw'!#REF!</definedName>
    <definedName name="Art_77.62.10.">'Detail Onderbouw &amp; Ruwbouw'!#REF!</definedName>
    <definedName name="Art_77.62.20.">'Detail Onderbouw &amp; Ruwbouw'!#REF!</definedName>
    <definedName name="Art_77.62.30.">'Detail Onderbouw &amp; Ruwbouw'!#REF!</definedName>
    <definedName name="Art_77.62.40.">'Detail Onderbouw &amp; Ruwbouw'!#REF!</definedName>
    <definedName name="Art_77.63.">'Detail Onderbouw &amp; Ruwbouw'!#REF!</definedName>
    <definedName name="Art_78.">'Detail Onderbouw &amp; Ruwbouw'!#REF!</definedName>
    <definedName name="Art_78.00.">'Detail Onderbouw &amp; Ruwbouw'!#REF!</definedName>
    <definedName name="Art_78.10.">'Detail Onderbouw &amp; Ruwbouw'!#REF!</definedName>
    <definedName name="Art_78.11.">'Detail Onderbouw &amp; Ruwbouw'!#REF!</definedName>
    <definedName name="first_cell" localSheetId="1">'Samenvatting Ruwbouw'!$B$10</definedName>
    <definedName name="Section" localSheetId="0">'Detail Onderbouw &amp; Ruwbouw'!#REF!</definedName>
    <definedName name="Section" localSheetId="1">'Samenvatting Ruwbouw'!#REF!</definedName>
    <definedName name="TotalLine" localSheetId="1">'Samenvatting Ruwbouw'!$B$246</definedName>
    <definedName name="Z_1EA1DABB_57F0_4012_99F2_78FD6D87C9A2_.wvu.Cols" localSheetId="1" hidden="1">'Samenvatting Ruwbouw'!$M:$N,'Samenvatting Ruwbouw'!$P:$Q,'Samenvatting Ruwbouw'!$S:$T,'Samenvatting Ruwbouw'!$V:$W,'Samenvatting Ruwbouw'!$Y:$Z,'Samenvatting Ruwbouw'!$AB:$AC</definedName>
    <definedName name="Z_1EA1DABB_57F0_4012_99F2_78FD6D87C9A2_.wvu.PrintArea" localSheetId="1" hidden="1">'Samenvatting Ruwbouw'!$A$1:$AA$35</definedName>
    <definedName name="Z_1EA1DABB_57F0_4012_99F2_78FD6D87C9A2_.wvu.PrintTitles" localSheetId="1" hidden="1">'Samenvatting Ruwbouw'!$1:$1</definedName>
    <definedName name="Z_1EA1DABB_57F0_4012_99F2_78FD6D87C9A2_.wvu.Rows" localSheetId="1" hidden="1">'Samenvatting Ruwbouw'!$1:$1</definedName>
    <definedName name="Z_685BC701_F7E6_48FC_BD29_D129DB944F46_.wvu.Cols" localSheetId="1" hidden="1">'Samenvatting Ruwbouw'!$AB:$AC</definedName>
    <definedName name="Z_685BC701_F7E6_48FC_BD29_D129DB944F46_.wvu.PrintArea" localSheetId="1" hidden="1">'Samenvatting Ruwbouw'!$A$1:$AA$35</definedName>
    <definedName name="Z_685BC701_F7E6_48FC_BD29_D129DB944F46_.wvu.PrintTitles" localSheetId="1" hidden="1">'Samenvatting Ruwbouw'!$1:$1</definedName>
    <definedName name="Z_685BC701_F7E6_48FC_BD29_D129DB944F46_.wvu.Rows" localSheetId="1" hidden="1">'Samenvatting Ruwbouw'!$1:$1</definedName>
    <definedName name="Z_C6F4E7AD_9432_49D3_8D5A_6AE8172A821F_.wvu.Cols" localSheetId="0" hidden="1">'Detail Onderbouw &amp; Ruwbouw'!$K:$XFD</definedName>
    <definedName name="Z_C6F4E7AD_9432_49D3_8D5A_6AE8172A821F_.wvu.Cols" localSheetId="1" hidden="1">'Samenvatting Ruwbouw'!$G:$G,'Samenvatting Ruwbouw'!$K:$AC</definedName>
    <definedName name="Z_C6F4E7AD_9432_49D3_8D5A_6AE8172A821F_.wvu.Rows" localSheetId="0" hidden="1">'Detail Onderbouw &amp; Ruwbouw'!$1:$1</definedName>
    <definedName name="Z_C6F4E7AD_9432_49D3_8D5A_6AE8172A821F_.wvu.Rows" localSheetId="1" hidden="1">'Samenvatting Ruwbouw'!$1:$1</definedName>
    <definedName name="Z_F61B4A02_03E5_44B1_8741_5B0A062D5F61_.wvu.Cols" localSheetId="0" hidden="1">'Detail Onderbouw &amp; Ruwbouw'!$K:$XFD</definedName>
    <definedName name="Z_F61B4A02_03E5_44B1_8741_5B0A062D5F61_.wvu.Cols" localSheetId="1" hidden="1">'Samenvatting Ruwbouw'!$K:$AC</definedName>
    <definedName name="Z_F61B4A02_03E5_44B1_8741_5B0A062D5F61_.wvu.Rows" localSheetId="0" hidden="1">'Detail Onderbouw &amp; Ruwbouw'!$1:$1</definedName>
    <definedName name="Z_F61B4A02_03E5_44B1_8741_5B0A062D5F61_.wvu.Rows" localSheetId="1" hidden="1">'Samenvatting Ruwbouw'!$1:$1</definedName>
  </definedNames>
  <calcPr calcId="191029"/>
  <customWorkbookViews>
    <customWorkbookView name="Simple" guid="{C6F4E7AD-9432-49D3-8D5A-6AE8172A821F}" includePrintSettings="0" maximized="1" xWindow="-1928" yWindow="-53" windowWidth="1936" windowHeight="1048" activeSheetId="2"/>
    <customWorkbookView name="Extended" guid="{F61B4A02-03E5-44B1-8741-5B0A062D5F61}" includePrintSettings="0" maximized="1" xWindow="-1928" yWindow="-53" windowWidth="1936" windowHeight="1048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08" i="2" l="1"/>
  <c r="I443" i="2"/>
  <c r="I444" i="2"/>
  <c r="D444" i="2"/>
  <c r="D443" i="2"/>
  <c r="D442" i="2"/>
  <c r="I442" i="2" s="1"/>
  <c r="I455" i="2"/>
  <c r="D441" i="2"/>
  <c r="D454" i="2"/>
  <c r="D465" i="2"/>
  <c r="D447" i="2"/>
  <c r="D446" i="2"/>
  <c r="I446" i="2" s="1"/>
  <c r="D457" i="2"/>
  <c r="D445" i="2"/>
  <c r="D709" i="2"/>
  <c r="D721" i="2"/>
  <c r="I768" i="2"/>
  <c r="I698" i="2"/>
  <c r="I701" i="2"/>
  <c r="I652" i="2"/>
  <c r="I651" i="2"/>
  <c r="I650" i="2"/>
  <c r="I649" i="2"/>
  <c r="I599" i="2"/>
  <c r="I598" i="2"/>
  <c r="I597" i="2"/>
  <c r="I596" i="2"/>
  <c r="I595" i="2"/>
  <c r="I594" i="2"/>
  <c r="I593" i="2"/>
  <c r="I363" i="2"/>
  <c r="I362" i="2"/>
  <c r="I271" i="2"/>
  <c r="I270" i="2"/>
  <c r="I269" i="2"/>
  <c r="I268" i="2"/>
  <c r="I257" i="2"/>
  <c r="I248" i="2"/>
  <c r="I246" i="2"/>
  <c r="I245" i="2"/>
  <c r="I222" i="2"/>
  <c r="I221" i="2"/>
  <c r="I220" i="2"/>
  <c r="I219" i="2"/>
  <c r="I218" i="2"/>
  <c r="I217" i="2"/>
  <c r="I216" i="2"/>
  <c r="I215" i="2"/>
  <c r="I214" i="2"/>
  <c r="B5" i="19" l="1"/>
  <c r="AC10" i="19"/>
  <c r="AC11" i="19"/>
  <c r="AC12" i="19"/>
  <c r="AC13" i="19"/>
  <c r="AC14" i="19"/>
  <c r="AC15" i="19"/>
  <c r="AC16" i="19"/>
  <c r="AC17" i="19"/>
  <c r="AC18" i="19"/>
  <c r="AC19" i="19"/>
  <c r="AC20" i="19"/>
  <c r="AC21" i="19"/>
  <c r="AC22" i="19"/>
  <c r="AC23" i="19"/>
  <c r="AC24" i="19"/>
  <c r="AC25" i="19"/>
  <c r="AC26" i="19"/>
  <c r="AC27" i="19"/>
  <c r="AC28" i="19"/>
  <c r="AC29" i="19"/>
  <c r="AC30" i="19"/>
  <c r="AC31" i="19"/>
  <c r="AC32" i="19"/>
  <c r="AC33" i="19"/>
  <c r="AC34" i="19"/>
  <c r="AC35" i="19"/>
  <c r="AC36" i="19"/>
  <c r="AC37" i="19"/>
  <c r="AC38" i="19"/>
  <c r="AC39" i="19"/>
  <c r="AC40" i="19"/>
  <c r="AC41" i="19"/>
  <c r="AC42" i="19"/>
  <c r="AC43" i="19"/>
  <c r="AC44" i="19"/>
  <c r="AC45" i="19"/>
  <c r="AC46" i="19"/>
  <c r="AC47" i="19"/>
  <c r="AC48" i="19"/>
  <c r="AC49" i="19"/>
  <c r="AC50" i="19"/>
  <c r="AC51" i="19"/>
  <c r="AC52" i="19"/>
  <c r="AC53" i="19"/>
  <c r="AC54" i="19"/>
  <c r="AC55" i="19"/>
  <c r="AC56" i="19"/>
  <c r="AC57" i="19"/>
  <c r="AC58" i="19"/>
  <c r="AC59" i="19"/>
  <c r="AC60" i="19"/>
  <c r="AC61" i="19"/>
  <c r="AC62" i="19"/>
  <c r="AC63" i="19"/>
  <c r="AC64" i="19"/>
  <c r="AC65" i="19"/>
  <c r="AC66" i="19"/>
  <c r="AC67" i="19"/>
  <c r="AC68" i="19"/>
  <c r="AC69" i="19"/>
  <c r="AC70" i="19"/>
  <c r="AC71" i="19"/>
  <c r="AC72" i="19"/>
  <c r="AC73" i="19"/>
  <c r="AC74" i="19"/>
  <c r="AC75" i="19"/>
  <c r="AC76" i="19"/>
  <c r="AC77" i="19"/>
  <c r="AC78" i="19"/>
  <c r="AC79" i="19"/>
  <c r="AC80" i="19"/>
  <c r="AC81" i="19"/>
  <c r="AC82" i="19"/>
  <c r="AC83" i="19"/>
  <c r="AC84" i="19"/>
  <c r="AC85" i="19"/>
  <c r="AC86" i="19"/>
  <c r="AC87" i="19"/>
  <c r="AC88" i="19"/>
  <c r="AC89" i="19"/>
  <c r="AC90" i="19"/>
  <c r="AC91" i="19"/>
  <c r="AC92" i="19"/>
  <c r="AC93" i="19"/>
  <c r="AC94" i="19"/>
  <c r="AC95" i="19"/>
  <c r="AC96" i="19"/>
  <c r="AC97" i="19"/>
  <c r="AC98" i="19"/>
  <c r="AC99" i="19"/>
  <c r="AC100" i="19"/>
  <c r="AC101" i="19"/>
  <c r="AC102" i="19"/>
  <c r="AC103" i="19"/>
  <c r="AC104" i="19"/>
  <c r="AC105" i="19"/>
  <c r="AC106" i="19"/>
  <c r="AC107" i="19"/>
  <c r="AC108" i="19"/>
  <c r="AC109" i="19"/>
  <c r="AC110" i="19"/>
  <c r="AC111" i="19"/>
  <c r="AC112" i="19"/>
  <c r="AC113" i="19"/>
  <c r="AC114" i="19"/>
  <c r="AC115" i="19"/>
  <c r="AC116" i="19"/>
  <c r="AC117" i="19"/>
  <c r="AC118" i="19"/>
  <c r="AC119" i="19"/>
  <c r="AC120" i="19"/>
  <c r="AC121" i="19"/>
  <c r="AC122" i="19"/>
  <c r="AC123" i="19"/>
  <c r="AC124" i="19"/>
  <c r="AC125" i="19"/>
  <c r="AC126" i="19"/>
  <c r="AC127" i="19"/>
  <c r="AC128" i="19"/>
  <c r="AC129" i="19"/>
  <c r="AC130" i="19"/>
  <c r="AC131" i="19"/>
  <c r="AC132" i="19"/>
  <c r="AC133" i="19"/>
  <c r="AC134" i="19"/>
  <c r="AC135" i="19"/>
  <c r="AC136" i="19"/>
  <c r="AC137" i="19"/>
  <c r="AC138" i="19"/>
  <c r="AC139" i="19"/>
  <c r="AC140" i="19"/>
  <c r="AC141" i="19"/>
  <c r="AC142" i="19"/>
  <c r="AC143" i="19"/>
  <c r="AC144" i="19"/>
  <c r="AC145" i="19"/>
  <c r="AC146" i="19"/>
  <c r="AC147" i="19"/>
  <c r="AC148" i="19"/>
  <c r="AC149" i="19"/>
  <c r="AC150" i="19"/>
  <c r="AC151" i="19"/>
  <c r="AC152" i="19"/>
  <c r="AC153" i="19"/>
  <c r="AC154" i="19"/>
  <c r="AC155" i="19"/>
  <c r="AC156" i="19"/>
  <c r="AC157" i="19"/>
  <c r="AC158" i="19"/>
  <c r="AC159" i="19"/>
  <c r="AC160" i="19"/>
  <c r="AC161" i="19"/>
  <c r="AC162" i="19"/>
  <c r="AC163" i="19"/>
  <c r="AC164" i="19"/>
  <c r="AC165" i="19"/>
  <c r="AC166" i="19"/>
  <c r="AC167" i="19"/>
  <c r="AC168" i="19"/>
  <c r="AC169" i="19"/>
  <c r="AC170" i="19"/>
  <c r="AC171" i="19"/>
  <c r="AC172" i="19"/>
  <c r="AC173" i="19"/>
  <c r="AC174" i="19"/>
  <c r="AC175" i="19"/>
  <c r="AC176" i="19"/>
  <c r="AC177" i="19"/>
  <c r="AC178" i="19"/>
  <c r="AC179" i="19"/>
  <c r="AC180" i="19"/>
  <c r="AC181" i="19"/>
  <c r="AC182" i="19"/>
  <c r="AC183" i="19"/>
  <c r="AC184" i="19"/>
  <c r="AC185" i="19"/>
  <c r="AC186" i="19"/>
  <c r="AC187" i="19"/>
  <c r="AC188" i="19"/>
  <c r="AC189" i="19"/>
  <c r="AC190" i="19"/>
  <c r="AC191" i="19"/>
  <c r="AC192" i="19"/>
  <c r="AC193" i="19"/>
  <c r="AC194" i="19"/>
  <c r="AC195" i="19"/>
  <c r="AC196" i="19"/>
  <c r="AC197" i="19"/>
  <c r="AC198" i="19"/>
  <c r="AC199" i="19"/>
  <c r="AC200" i="19"/>
  <c r="AC201" i="19"/>
  <c r="AC202" i="19"/>
  <c r="AC203" i="19"/>
  <c r="AC204" i="19"/>
  <c r="AC205" i="19"/>
  <c r="AC206" i="19"/>
  <c r="AC207" i="19"/>
  <c r="AC208" i="19"/>
  <c r="AC209" i="19"/>
  <c r="AC210" i="19"/>
  <c r="AC211" i="19"/>
  <c r="AC212" i="19"/>
  <c r="AC213" i="19"/>
  <c r="AC214" i="19"/>
  <c r="AC215" i="19"/>
  <c r="AC216" i="19"/>
  <c r="AC217" i="19"/>
  <c r="AC218" i="19"/>
  <c r="AC219" i="19"/>
  <c r="AC220" i="19"/>
  <c r="AC221" i="19"/>
  <c r="AC222" i="19"/>
  <c r="AC223" i="19"/>
  <c r="AC224" i="19"/>
  <c r="AC225" i="19"/>
  <c r="AC226" i="19"/>
  <c r="AC227" i="19"/>
  <c r="AC228" i="19"/>
  <c r="AC229" i="19"/>
  <c r="AC230" i="19"/>
  <c r="AC231" i="19"/>
  <c r="AC232" i="19"/>
  <c r="AC233" i="19"/>
  <c r="AC234" i="19"/>
  <c r="AC235" i="19"/>
  <c r="AC236" i="19"/>
  <c r="AC237" i="19"/>
  <c r="AC238" i="19"/>
  <c r="AC239" i="19"/>
  <c r="AC240" i="19"/>
  <c r="AC241" i="19"/>
  <c r="AC242" i="19"/>
  <c r="AC243" i="19"/>
  <c r="AC244" i="19"/>
  <c r="AC245" i="19"/>
  <c r="AA245" i="19"/>
  <c r="AA243" i="19"/>
  <c r="AA241" i="19"/>
  <c r="AA240" i="19"/>
  <c r="AA239" i="19"/>
  <c r="AA238" i="19"/>
  <c r="AA237" i="19"/>
  <c r="AA235" i="19"/>
  <c r="AA234" i="19"/>
  <c r="AA232" i="19"/>
  <c r="AA230" i="19"/>
  <c r="AA227" i="19"/>
  <c r="AA226" i="19"/>
  <c r="AA224" i="19"/>
  <c r="AA221" i="19"/>
  <c r="AA220" i="19"/>
  <c r="AA219" i="19"/>
  <c r="AA217" i="19"/>
  <c r="AA216" i="19"/>
  <c r="AA215" i="19"/>
  <c r="AA214" i="19"/>
  <c r="AA213" i="19"/>
  <c r="AA211" i="19"/>
  <c r="AA210" i="19"/>
  <c r="AA209" i="19"/>
  <c r="AA208" i="19"/>
  <c r="AA207" i="19"/>
  <c r="AA206" i="19"/>
  <c r="AA204" i="19"/>
  <c r="AA203" i="19"/>
  <c r="AA202" i="19"/>
  <c r="AA201" i="19"/>
  <c r="AA199" i="19"/>
  <c r="AA197" i="19"/>
  <c r="AA196" i="19"/>
  <c r="AA195" i="19"/>
  <c r="AA194" i="19"/>
  <c r="AA193" i="19"/>
  <c r="AA192" i="19"/>
  <c r="AA191" i="19"/>
  <c r="AA190" i="19"/>
  <c r="AA189" i="19"/>
  <c r="AA187" i="19"/>
  <c r="AA186" i="19"/>
  <c r="AA183" i="19"/>
  <c r="AA181" i="19"/>
  <c r="AA180" i="19"/>
  <c r="AA178" i="19"/>
  <c r="AA177" i="19"/>
  <c r="AA176" i="19"/>
  <c r="AA175" i="19"/>
  <c r="AA174" i="19"/>
  <c r="AA173" i="19"/>
  <c r="AA172" i="19"/>
  <c r="AA171" i="19"/>
  <c r="AA165" i="19"/>
  <c r="AA164" i="19"/>
  <c r="AA162" i="19"/>
  <c r="AA160" i="19"/>
  <c r="AA159" i="19"/>
  <c r="AA155" i="19"/>
  <c r="AA154" i="19"/>
  <c r="AA153" i="19"/>
  <c r="AA152" i="19"/>
  <c r="AA151" i="19"/>
  <c r="AA150" i="19"/>
  <c r="AA149" i="19"/>
  <c r="AA148" i="19"/>
  <c r="AA146" i="19"/>
  <c r="AA145" i="19"/>
  <c r="AA144" i="19"/>
  <c r="AA143" i="19"/>
  <c r="AA142" i="19"/>
  <c r="AA141" i="19"/>
  <c r="AA139" i="19"/>
  <c r="AA138" i="19"/>
  <c r="AA136" i="19"/>
  <c r="AA135" i="19"/>
  <c r="AA134" i="19"/>
  <c r="AA133" i="19"/>
  <c r="AA132" i="19"/>
  <c r="AA131" i="19"/>
  <c r="AA128" i="19"/>
  <c r="AA125" i="19"/>
  <c r="AA124" i="19"/>
  <c r="AA123" i="19"/>
  <c r="AA122" i="19"/>
  <c r="AA121" i="19"/>
  <c r="AA120" i="19"/>
  <c r="AA118" i="19"/>
  <c r="AA117" i="19"/>
  <c r="AA116" i="19"/>
  <c r="AA115" i="19"/>
  <c r="AA114" i="19"/>
  <c r="AA113" i="19"/>
  <c r="AA110" i="19"/>
  <c r="AA109" i="19"/>
  <c r="AA108" i="19"/>
  <c r="AA106" i="19"/>
  <c r="AA104" i="19"/>
  <c r="AA103" i="19"/>
  <c r="AA101" i="19"/>
  <c r="AA99" i="19"/>
  <c r="AA97" i="19"/>
  <c r="AA94" i="19"/>
  <c r="AA93" i="19"/>
  <c r="AA90" i="19"/>
  <c r="AA89" i="19"/>
  <c r="AA86" i="19"/>
  <c r="AA85" i="19"/>
  <c r="AA84" i="19"/>
  <c r="AA83" i="19"/>
  <c r="AA82" i="19"/>
  <c r="AA81" i="19"/>
  <c r="AA80" i="19"/>
  <c r="AA79" i="19"/>
  <c r="AA78" i="19"/>
  <c r="AA77" i="19"/>
  <c r="AA74" i="19"/>
  <c r="AA73" i="19"/>
  <c r="AA71" i="19"/>
  <c r="AA70" i="19"/>
  <c r="AA69" i="19"/>
  <c r="AA68" i="19"/>
  <c r="AA66" i="19"/>
  <c r="AA65" i="19"/>
  <c r="AA64" i="19"/>
  <c r="AA63" i="19"/>
  <c r="AA62" i="19"/>
  <c r="AA61" i="19"/>
  <c r="AA60" i="19"/>
  <c r="AA57" i="19"/>
  <c r="AA56" i="19"/>
  <c r="AA55" i="19"/>
  <c r="AA54" i="19"/>
  <c r="AA53" i="19"/>
  <c r="AA51" i="19"/>
  <c r="AA50" i="19"/>
  <c r="AA49" i="19"/>
  <c r="AA48" i="19"/>
  <c r="AA47" i="19"/>
  <c r="AA46" i="19"/>
  <c r="AA45" i="19"/>
  <c r="AA40" i="19"/>
  <c r="AA36" i="19"/>
  <c r="AA27" i="19"/>
  <c r="AA26" i="19"/>
  <c r="AA25" i="19"/>
  <c r="AA24" i="19"/>
  <c r="AA23" i="19"/>
  <c r="AA22" i="19"/>
  <c r="AA21" i="19"/>
  <c r="AA20" i="19"/>
  <c r="AA19" i="19"/>
  <c r="AA18" i="19"/>
  <c r="AA17" i="19"/>
  <c r="AA16" i="19"/>
  <c r="AA15" i="19"/>
  <c r="AA14" i="19"/>
  <c r="AA13" i="19"/>
  <c r="AA12" i="19"/>
  <c r="AA11" i="19"/>
  <c r="AA10" i="19"/>
  <c r="W10" i="19"/>
  <c r="W11" i="19"/>
  <c r="W12" i="19"/>
  <c r="W13" i="19"/>
  <c r="W14" i="19"/>
  <c r="W15" i="19"/>
  <c r="W16" i="19"/>
  <c r="W17" i="19"/>
  <c r="W18" i="19"/>
  <c r="W19" i="19"/>
  <c r="W20" i="19"/>
  <c r="W21" i="19"/>
  <c r="W22" i="19"/>
  <c r="W23" i="19"/>
  <c r="W24" i="19"/>
  <c r="W25" i="19"/>
  <c r="W26" i="19"/>
  <c r="W27" i="19"/>
  <c r="W28" i="19"/>
  <c r="W29" i="19"/>
  <c r="W30" i="19"/>
  <c r="W31" i="19"/>
  <c r="W32" i="19"/>
  <c r="W33" i="19"/>
  <c r="W34" i="19"/>
  <c r="W35" i="19"/>
  <c r="W36" i="19"/>
  <c r="W37" i="19"/>
  <c r="W38" i="19"/>
  <c r="W39" i="19"/>
  <c r="W40" i="19"/>
  <c r="W41" i="19"/>
  <c r="W42" i="19"/>
  <c r="W43" i="19"/>
  <c r="W44" i="19"/>
  <c r="W45" i="19"/>
  <c r="W46" i="19"/>
  <c r="W47" i="19"/>
  <c r="W48" i="19"/>
  <c r="W49" i="19"/>
  <c r="W50" i="19"/>
  <c r="W51" i="19"/>
  <c r="W52" i="19"/>
  <c r="W53" i="19"/>
  <c r="W54" i="19"/>
  <c r="W55" i="19"/>
  <c r="W56" i="19"/>
  <c r="W57" i="19"/>
  <c r="W58" i="19"/>
  <c r="W59" i="19"/>
  <c r="W60" i="19"/>
  <c r="W61" i="19"/>
  <c r="W62" i="19"/>
  <c r="W63" i="19"/>
  <c r="W64" i="19"/>
  <c r="W65" i="19"/>
  <c r="W66" i="19"/>
  <c r="W67" i="19"/>
  <c r="W68" i="19"/>
  <c r="W69" i="19"/>
  <c r="W70" i="19"/>
  <c r="W71" i="19"/>
  <c r="W72" i="19"/>
  <c r="W73" i="19"/>
  <c r="W74" i="19"/>
  <c r="W75" i="19"/>
  <c r="W76" i="19"/>
  <c r="W77" i="19"/>
  <c r="W78" i="19"/>
  <c r="W79" i="19"/>
  <c r="W80" i="19"/>
  <c r="W81" i="19"/>
  <c r="W82" i="19"/>
  <c r="W83" i="19"/>
  <c r="W84" i="19"/>
  <c r="W85" i="19"/>
  <c r="W86" i="19"/>
  <c r="W87" i="19"/>
  <c r="W88" i="19"/>
  <c r="W89" i="19"/>
  <c r="W90" i="19"/>
  <c r="W91" i="19"/>
  <c r="W92" i="19"/>
  <c r="W93" i="19"/>
  <c r="W94" i="19"/>
  <c r="W95" i="19"/>
  <c r="W96" i="19"/>
  <c r="W97" i="19"/>
  <c r="W98" i="19"/>
  <c r="W99" i="19"/>
  <c r="W100" i="19"/>
  <c r="W101" i="19"/>
  <c r="W102" i="19"/>
  <c r="W103" i="19"/>
  <c r="W104" i="19"/>
  <c r="W105" i="19"/>
  <c r="W106" i="19"/>
  <c r="W107" i="19"/>
  <c r="W108" i="19"/>
  <c r="W109" i="19"/>
  <c r="W110" i="19"/>
  <c r="W111" i="19"/>
  <c r="W112" i="19"/>
  <c r="W113" i="19"/>
  <c r="W114" i="19"/>
  <c r="W115" i="19"/>
  <c r="W116" i="19"/>
  <c r="W117" i="19"/>
  <c r="W118" i="19"/>
  <c r="W119" i="19"/>
  <c r="W120" i="19"/>
  <c r="W121" i="19"/>
  <c r="W122" i="19"/>
  <c r="W123" i="19"/>
  <c r="W124" i="19"/>
  <c r="W125" i="19"/>
  <c r="W126" i="19"/>
  <c r="W127" i="19"/>
  <c r="W128" i="19"/>
  <c r="W129" i="19"/>
  <c r="W130" i="19"/>
  <c r="W131" i="19"/>
  <c r="W132" i="19"/>
  <c r="W133" i="19"/>
  <c r="W134" i="19"/>
  <c r="W135" i="19"/>
  <c r="W136" i="19"/>
  <c r="W137" i="19"/>
  <c r="W138" i="19"/>
  <c r="W139" i="19"/>
  <c r="W140" i="19"/>
  <c r="W141" i="19"/>
  <c r="W142" i="19"/>
  <c r="W143" i="19"/>
  <c r="W144" i="19"/>
  <c r="W145" i="19"/>
  <c r="W146" i="19"/>
  <c r="W147" i="19"/>
  <c r="W148" i="19"/>
  <c r="W149" i="19"/>
  <c r="W150" i="19"/>
  <c r="W151" i="19"/>
  <c r="W152" i="19"/>
  <c r="W153" i="19"/>
  <c r="W154" i="19"/>
  <c r="W155" i="19"/>
  <c r="W156" i="19"/>
  <c r="W157" i="19"/>
  <c r="W158" i="19"/>
  <c r="W159" i="19"/>
  <c r="W160" i="19"/>
  <c r="W161" i="19"/>
  <c r="W162" i="19"/>
  <c r="W163" i="19"/>
  <c r="W164" i="19"/>
  <c r="W165" i="19"/>
  <c r="W166" i="19"/>
  <c r="W167" i="19"/>
  <c r="W168" i="19"/>
  <c r="W169" i="19"/>
  <c r="W170" i="19"/>
  <c r="W171" i="19"/>
  <c r="W172" i="19"/>
  <c r="W173" i="19"/>
  <c r="W174" i="19"/>
  <c r="W175" i="19"/>
  <c r="W176" i="19"/>
  <c r="W177" i="19"/>
  <c r="W178" i="19"/>
  <c r="W179" i="19"/>
  <c r="W180" i="19"/>
  <c r="W181" i="19"/>
  <c r="W182" i="19"/>
  <c r="W183" i="19"/>
  <c r="W184" i="19"/>
  <c r="W185" i="19"/>
  <c r="W186" i="19"/>
  <c r="W187" i="19"/>
  <c r="W188" i="19"/>
  <c r="W189" i="19"/>
  <c r="W190" i="19"/>
  <c r="W191" i="19"/>
  <c r="W192" i="19"/>
  <c r="W193" i="19"/>
  <c r="W194" i="19"/>
  <c r="W195" i="19"/>
  <c r="W196" i="19"/>
  <c r="W197" i="19"/>
  <c r="W198" i="19"/>
  <c r="W199" i="19"/>
  <c r="W200" i="19"/>
  <c r="W201" i="19"/>
  <c r="W202" i="19"/>
  <c r="W203" i="19"/>
  <c r="W204" i="19"/>
  <c r="W205" i="19"/>
  <c r="W206" i="19"/>
  <c r="W207" i="19"/>
  <c r="W208" i="19"/>
  <c r="W209" i="19"/>
  <c r="W210" i="19"/>
  <c r="W211" i="19"/>
  <c r="W212" i="19"/>
  <c r="W213" i="19"/>
  <c r="W214" i="19"/>
  <c r="W215" i="19"/>
  <c r="W216" i="19"/>
  <c r="W217" i="19"/>
  <c r="W218" i="19"/>
  <c r="W219" i="19"/>
  <c r="W220" i="19"/>
  <c r="W221" i="19"/>
  <c r="W222" i="19"/>
  <c r="W223" i="19"/>
  <c r="W224" i="19"/>
  <c r="W225" i="19"/>
  <c r="W226" i="19"/>
  <c r="W227" i="19"/>
  <c r="W228" i="19"/>
  <c r="W229" i="19"/>
  <c r="W230" i="19"/>
  <c r="W231" i="19"/>
  <c r="W232" i="19"/>
  <c r="W233" i="19"/>
  <c r="W234" i="19"/>
  <c r="W235" i="19"/>
  <c r="W236" i="19"/>
  <c r="W237" i="19"/>
  <c r="W238" i="19"/>
  <c r="W239" i="19"/>
  <c r="W240" i="19"/>
  <c r="W241" i="19"/>
  <c r="W242" i="19"/>
  <c r="W243" i="19"/>
  <c r="W244" i="19"/>
  <c r="W245" i="19"/>
  <c r="U245" i="19"/>
  <c r="U243" i="19"/>
  <c r="U241" i="19"/>
  <c r="U240" i="19"/>
  <c r="U239" i="19"/>
  <c r="U238" i="19"/>
  <c r="U237" i="19"/>
  <c r="U235" i="19"/>
  <c r="U234" i="19"/>
  <c r="U232" i="19"/>
  <c r="U230" i="19"/>
  <c r="U227" i="19"/>
  <c r="U226" i="19"/>
  <c r="U224" i="19"/>
  <c r="U221" i="19"/>
  <c r="U220" i="19"/>
  <c r="U219" i="19"/>
  <c r="U217" i="19"/>
  <c r="U216" i="19"/>
  <c r="U215" i="19"/>
  <c r="U214" i="19"/>
  <c r="U213" i="19"/>
  <c r="U211" i="19"/>
  <c r="U210" i="19"/>
  <c r="U209" i="19"/>
  <c r="U208" i="19"/>
  <c r="U207" i="19"/>
  <c r="U206" i="19"/>
  <c r="U204" i="19"/>
  <c r="U203" i="19"/>
  <c r="U202" i="19"/>
  <c r="U201" i="19"/>
  <c r="U199" i="19"/>
  <c r="U197" i="19"/>
  <c r="U196" i="19"/>
  <c r="U195" i="19"/>
  <c r="U194" i="19"/>
  <c r="U193" i="19"/>
  <c r="U192" i="19"/>
  <c r="U191" i="19"/>
  <c r="U190" i="19"/>
  <c r="U189" i="19"/>
  <c r="U187" i="19"/>
  <c r="U186" i="19"/>
  <c r="U183" i="19"/>
  <c r="U181" i="19"/>
  <c r="U180" i="19"/>
  <c r="U178" i="19"/>
  <c r="U177" i="19"/>
  <c r="U176" i="19"/>
  <c r="U175" i="19"/>
  <c r="U174" i="19"/>
  <c r="U173" i="19"/>
  <c r="U172" i="19"/>
  <c r="U171" i="19"/>
  <c r="U165" i="19"/>
  <c r="U164" i="19"/>
  <c r="U162" i="19"/>
  <c r="U160" i="19"/>
  <c r="U159" i="19"/>
  <c r="U155" i="19"/>
  <c r="U154" i="19"/>
  <c r="U153" i="19"/>
  <c r="U152" i="19"/>
  <c r="U151" i="19"/>
  <c r="U150" i="19"/>
  <c r="U149" i="19"/>
  <c r="U148" i="19"/>
  <c r="U146" i="19"/>
  <c r="U145" i="19"/>
  <c r="U144" i="19"/>
  <c r="U143" i="19"/>
  <c r="U142" i="19"/>
  <c r="U141" i="19"/>
  <c r="U139" i="19"/>
  <c r="U138" i="19"/>
  <c r="U136" i="19"/>
  <c r="U135" i="19"/>
  <c r="U134" i="19"/>
  <c r="U133" i="19"/>
  <c r="U132" i="19"/>
  <c r="U131" i="19"/>
  <c r="U128" i="19"/>
  <c r="U125" i="19"/>
  <c r="U124" i="19"/>
  <c r="U123" i="19"/>
  <c r="U122" i="19"/>
  <c r="U121" i="19"/>
  <c r="U120" i="19"/>
  <c r="U118" i="19"/>
  <c r="U117" i="19"/>
  <c r="U116" i="19"/>
  <c r="U115" i="19"/>
  <c r="U114" i="19"/>
  <c r="U113" i="19"/>
  <c r="U110" i="19"/>
  <c r="U109" i="19"/>
  <c r="U108" i="19"/>
  <c r="U106" i="19"/>
  <c r="U104" i="19"/>
  <c r="U103" i="19"/>
  <c r="U101" i="19"/>
  <c r="U99" i="19"/>
  <c r="U97" i="19"/>
  <c r="U94" i="19"/>
  <c r="U93" i="19"/>
  <c r="U90" i="19"/>
  <c r="U89" i="19"/>
  <c r="U86" i="19"/>
  <c r="U85" i="19"/>
  <c r="U84" i="19"/>
  <c r="U83" i="19"/>
  <c r="U82" i="19"/>
  <c r="U81" i="19"/>
  <c r="U80" i="19"/>
  <c r="U79" i="19"/>
  <c r="U78" i="19"/>
  <c r="U77" i="19"/>
  <c r="U74" i="19"/>
  <c r="U73" i="19"/>
  <c r="U71" i="19"/>
  <c r="U70" i="19"/>
  <c r="U69" i="19"/>
  <c r="U68" i="19"/>
  <c r="U66" i="19"/>
  <c r="U65" i="19"/>
  <c r="U64" i="19"/>
  <c r="U63" i="19"/>
  <c r="U62" i="19"/>
  <c r="U61" i="19"/>
  <c r="U60" i="19"/>
  <c r="U57" i="19"/>
  <c r="U56" i="19"/>
  <c r="U55" i="19"/>
  <c r="U54" i="19"/>
  <c r="U53" i="19"/>
  <c r="U51" i="19"/>
  <c r="U50" i="19"/>
  <c r="U49" i="19"/>
  <c r="U48" i="19"/>
  <c r="U47" i="19"/>
  <c r="U46" i="19"/>
  <c r="U45" i="19"/>
  <c r="U40" i="19"/>
  <c r="U36" i="19"/>
  <c r="U27" i="19"/>
  <c r="U26" i="19"/>
  <c r="U25" i="19"/>
  <c r="U24" i="19"/>
  <c r="U23" i="19"/>
  <c r="U22" i="19"/>
  <c r="U21" i="19"/>
  <c r="U20" i="19"/>
  <c r="U19" i="19"/>
  <c r="U18" i="19"/>
  <c r="U17" i="19"/>
  <c r="U16" i="19"/>
  <c r="U15" i="19"/>
  <c r="U14" i="19"/>
  <c r="U13" i="19"/>
  <c r="U12" i="19"/>
  <c r="U11" i="19"/>
  <c r="U10" i="19"/>
  <c r="Q10" i="19"/>
  <c r="Q11" i="19"/>
  <c r="Q12" i="19"/>
  <c r="Q13" i="19"/>
  <c r="Q14" i="19"/>
  <c r="Q15" i="19"/>
  <c r="Q16" i="19"/>
  <c r="Q17" i="19"/>
  <c r="Q18" i="19"/>
  <c r="Q19" i="19"/>
  <c r="Q20" i="19"/>
  <c r="Q21" i="19"/>
  <c r="Q22" i="19"/>
  <c r="Q23" i="19"/>
  <c r="Q24" i="19"/>
  <c r="Q25" i="19"/>
  <c r="Q26" i="19"/>
  <c r="Q27" i="19"/>
  <c r="Q28" i="19"/>
  <c r="Q29" i="19"/>
  <c r="Q30" i="19"/>
  <c r="Q31" i="19"/>
  <c r="Q32" i="19"/>
  <c r="Q33" i="19"/>
  <c r="Q34" i="19"/>
  <c r="Q35" i="19"/>
  <c r="Q36" i="19"/>
  <c r="Q37" i="19"/>
  <c r="Q38" i="19"/>
  <c r="Q39" i="19"/>
  <c r="Q40" i="19"/>
  <c r="Q41" i="19"/>
  <c r="Q42" i="19"/>
  <c r="Q43" i="19"/>
  <c r="Q44" i="19"/>
  <c r="Q45" i="19"/>
  <c r="Q46" i="19"/>
  <c r="Q47" i="19"/>
  <c r="Q48" i="19"/>
  <c r="Q49" i="19"/>
  <c r="Q50" i="19"/>
  <c r="Q51" i="19"/>
  <c r="Q52" i="19"/>
  <c r="Q53" i="19"/>
  <c r="Q54" i="19"/>
  <c r="Q55" i="19"/>
  <c r="Q56" i="19"/>
  <c r="Q57" i="19"/>
  <c r="Q58" i="19"/>
  <c r="Q59" i="19"/>
  <c r="Q60" i="19"/>
  <c r="Q61" i="19"/>
  <c r="Q62" i="19"/>
  <c r="Q63" i="19"/>
  <c r="Q64" i="19"/>
  <c r="Q65" i="19"/>
  <c r="Q66" i="19"/>
  <c r="Q67" i="19"/>
  <c r="Q68" i="19"/>
  <c r="Q69" i="19"/>
  <c r="Q70" i="19"/>
  <c r="Q71" i="19"/>
  <c r="Q72" i="19"/>
  <c r="Q73" i="19"/>
  <c r="Q74" i="19"/>
  <c r="Q75" i="19"/>
  <c r="Q76" i="19"/>
  <c r="Q77" i="19"/>
  <c r="Q78" i="19"/>
  <c r="Q79" i="19"/>
  <c r="Q80" i="19"/>
  <c r="Q81" i="19"/>
  <c r="Q82" i="19"/>
  <c r="Q83" i="19"/>
  <c r="Q84" i="19"/>
  <c r="Q85" i="19"/>
  <c r="Q86" i="19"/>
  <c r="Q87" i="19"/>
  <c r="Q88" i="19"/>
  <c r="Q89" i="19"/>
  <c r="Q90" i="19"/>
  <c r="Q91" i="19"/>
  <c r="Q92" i="19"/>
  <c r="Q93" i="19"/>
  <c r="Q94" i="19"/>
  <c r="Q95" i="19"/>
  <c r="Q96" i="19"/>
  <c r="Q97" i="19"/>
  <c r="Q98" i="19"/>
  <c r="Q99" i="19"/>
  <c r="Q100" i="19"/>
  <c r="Q101" i="19"/>
  <c r="Q102" i="19"/>
  <c r="Q103" i="19"/>
  <c r="Q104" i="19"/>
  <c r="Q105" i="19"/>
  <c r="Q106" i="19"/>
  <c r="Q107" i="19"/>
  <c r="Q108" i="19"/>
  <c r="Q109" i="19"/>
  <c r="Q110" i="19"/>
  <c r="Q111" i="19"/>
  <c r="Q112" i="19"/>
  <c r="Q113" i="19"/>
  <c r="Q114" i="19"/>
  <c r="Q115" i="19"/>
  <c r="Q116" i="19"/>
  <c r="Q117" i="19"/>
  <c r="Q118" i="19"/>
  <c r="Q119" i="19"/>
  <c r="Q120" i="19"/>
  <c r="Q121" i="19"/>
  <c r="Q122" i="19"/>
  <c r="Q123" i="19"/>
  <c r="Q124" i="19"/>
  <c r="Q125" i="19"/>
  <c r="Q126" i="19"/>
  <c r="Q127" i="19"/>
  <c r="Q128" i="19"/>
  <c r="Q129" i="19"/>
  <c r="Q130" i="19"/>
  <c r="Q131" i="19"/>
  <c r="Q132" i="19"/>
  <c r="Q133" i="19"/>
  <c r="Q134" i="19"/>
  <c r="Q135" i="19"/>
  <c r="Q136" i="19"/>
  <c r="Q137" i="19"/>
  <c r="Q138" i="19"/>
  <c r="Q139" i="19"/>
  <c r="Q140" i="19"/>
  <c r="Q141" i="19"/>
  <c r="Q142" i="19"/>
  <c r="Q143" i="19"/>
  <c r="Q144" i="19"/>
  <c r="Q145" i="19"/>
  <c r="Q146" i="19"/>
  <c r="Q147" i="19"/>
  <c r="Q148" i="19"/>
  <c r="Q149" i="19"/>
  <c r="Q150" i="19"/>
  <c r="Q151" i="19"/>
  <c r="Q152" i="19"/>
  <c r="Q153" i="19"/>
  <c r="Q154" i="19"/>
  <c r="Q155" i="19"/>
  <c r="Q156" i="19"/>
  <c r="Q157" i="19"/>
  <c r="Q158" i="19"/>
  <c r="Q159" i="19"/>
  <c r="Q160" i="19"/>
  <c r="Q161" i="19"/>
  <c r="Q162" i="19"/>
  <c r="Q163" i="19"/>
  <c r="Q164" i="19"/>
  <c r="Q165" i="19"/>
  <c r="Q166" i="19"/>
  <c r="Q167" i="19"/>
  <c r="Q168" i="19"/>
  <c r="Q169" i="19"/>
  <c r="Q170" i="19"/>
  <c r="Q171" i="19"/>
  <c r="Q172" i="19"/>
  <c r="Q173" i="19"/>
  <c r="Q174" i="19"/>
  <c r="Q175" i="19"/>
  <c r="Q176" i="19"/>
  <c r="Q177" i="19"/>
  <c r="Q178" i="19"/>
  <c r="Q179" i="19"/>
  <c r="Q180" i="19"/>
  <c r="Q181" i="19"/>
  <c r="Q182" i="19"/>
  <c r="Q183" i="19"/>
  <c r="Q184" i="19"/>
  <c r="Q185" i="19"/>
  <c r="Q186" i="19"/>
  <c r="Q187" i="19"/>
  <c r="Q188" i="19"/>
  <c r="Q189" i="19"/>
  <c r="Q190" i="19"/>
  <c r="Q191" i="19"/>
  <c r="Q192" i="19"/>
  <c r="Q193" i="19"/>
  <c r="Q194" i="19"/>
  <c r="Q195" i="19"/>
  <c r="Q196" i="19"/>
  <c r="Q197" i="19"/>
  <c r="Q198" i="19"/>
  <c r="Q199" i="19"/>
  <c r="Q200" i="19"/>
  <c r="Q201" i="19"/>
  <c r="Q202" i="19"/>
  <c r="Q203" i="19"/>
  <c r="Q204" i="19"/>
  <c r="Q205" i="19"/>
  <c r="Q206" i="19"/>
  <c r="Q207" i="19"/>
  <c r="Q208" i="19"/>
  <c r="Q209" i="19"/>
  <c r="Q210" i="19"/>
  <c r="Q211" i="19"/>
  <c r="Q212" i="19"/>
  <c r="Q213" i="19"/>
  <c r="Q214" i="19"/>
  <c r="Q215" i="19"/>
  <c r="Q216" i="19"/>
  <c r="Q217" i="19"/>
  <c r="Q218" i="19"/>
  <c r="Q219" i="19"/>
  <c r="Q220" i="19"/>
  <c r="Q221" i="19"/>
  <c r="Q222" i="19"/>
  <c r="Q223" i="19"/>
  <c r="Q224" i="19"/>
  <c r="Q225" i="19"/>
  <c r="Q226" i="19"/>
  <c r="Q227" i="19"/>
  <c r="Q228" i="19"/>
  <c r="Q229" i="19"/>
  <c r="Q230" i="19"/>
  <c r="Q231" i="19"/>
  <c r="Q232" i="19"/>
  <c r="Q233" i="19"/>
  <c r="Q234" i="19"/>
  <c r="Q235" i="19"/>
  <c r="Q236" i="19"/>
  <c r="Q237" i="19"/>
  <c r="Q238" i="19"/>
  <c r="Q239" i="19"/>
  <c r="Q240" i="19"/>
  <c r="Q241" i="19"/>
  <c r="Q242" i="19"/>
  <c r="Q243" i="19"/>
  <c r="Q244" i="19"/>
  <c r="Q245" i="19"/>
  <c r="O245" i="19"/>
  <c r="O243" i="19"/>
  <c r="O241" i="19"/>
  <c r="O240" i="19"/>
  <c r="O239" i="19"/>
  <c r="O238" i="19"/>
  <c r="O237" i="19"/>
  <c r="O235" i="19"/>
  <c r="O234" i="19"/>
  <c r="O232" i="19"/>
  <c r="O230" i="19"/>
  <c r="O227" i="19"/>
  <c r="O226" i="19"/>
  <c r="O224" i="19"/>
  <c r="O221" i="19"/>
  <c r="O220" i="19"/>
  <c r="O219" i="19"/>
  <c r="O217" i="19"/>
  <c r="O216" i="19"/>
  <c r="O215" i="19"/>
  <c r="O214" i="19"/>
  <c r="O213" i="19"/>
  <c r="O211" i="19"/>
  <c r="O210" i="19"/>
  <c r="O209" i="19"/>
  <c r="O208" i="19"/>
  <c r="O207" i="19"/>
  <c r="O206" i="19"/>
  <c r="O204" i="19"/>
  <c r="O203" i="19"/>
  <c r="O202" i="19"/>
  <c r="O201" i="19"/>
  <c r="O199" i="19"/>
  <c r="O197" i="19"/>
  <c r="O196" i="19"/>
  <c r="O195" i="19"/>
  <c r="O194" i="19"/>
  <c r="O193" i="19"/>
  <c r="O192" i="19"/>
  <c r="O191" i="19"/>
  <c r="O190" i="19"/>
  <c r="O189" i="19"/>
  <c r="O187" i="19"/>
  <c r="O186" i="19"/>
  <c r="O183" i="19"/>
  <c r="O181" i="19"/>
  <c r="O180" i="19"/>
  <c r="O178" i="19"/>
  <c r="O177" i="19"/>
  <c r="O176" i="19"/>
  <c r="O175" i="19"/>
  <c r="O174" i="19"/>
  <c r="O173" i="19"/>
  <c r="O172" i="19"/>
  <c r="O171" i="19"/>
  <c r="O165" i="19"/>
  <c r="O164" i="19"/>
  <c r="O162" i="19"/>
  <c r="O160" i="19"/>
  <c r="O159" i="19"/>
  <c r="O155" i="19"/>
  <c r="O154" i="19"/>
  <c r="O153" i="19"/>
  <c r="O152" i="19"/>
  <c r="O151" i="19"/>
  <c r="O150" i="19"/>
  <c r="O149" i="19"/>
  <c r="O148" i="19"/>
  <c r="O146" i="19"/>
  <c r="O145" i="19"/>
  <c r="O144" i="19"/>
  <c r="O143" i="19"/>
  <c r="O142" i="19"/>
  <c r="O141" i="19"/>
  <c r="O139" i="19"/>
  <c r="O138" i="19"/>
  <c r="O136" i="19"/>
  <c r="O135" i="19"/>
  <c r="O134" i="19"/>
  <c r="O133" i="19"/>
  <c r="O132" i="19"/>
  <c r="O131" i="19"/>
  <c r="O128" i="19"/>
  <c r="O125" i="19"/>
  <c r="O124" i="19"/>
  <c r="O123" i="19"/>
  <c r="O122" i="19"/>
  <c r="O121" i="19"/>
  <c r="O120" i="19"/>
  <c r="O118" i="19"/>
  <c r="O117" i="19"/>
  <c r="O116" i="19"/>
  <c r="O115" i="19"/>
  <c r="O114" i="19"/>
  <c r="O113" i="19"/>
  <c r="O110" i="19"/>
  <c r="O109" i="19"/>
  <c r="O108" i="19"/>
  <c r="O106" i="19"/>
  <c r="O104" i="19"/>
  <c r="O103" i="19"/>
  <c r="O101" i="19"/>
  <c r="O99" i="19"/>
  <c r="O97" i="19"/>
  <c r="O94" i="19"/>
  <c r="O93" i="19"/>
  <c r="O90" i="19"/>
  <c r="O89" i="19"/>
  <c r="O86" i="19"/>
  <c r="O85" i="19"/>
  <c r="O84" i="19"/>
  <c r="O83" i="19"/>
  <c r="O82" i="19"/>
  <c r="O81" i="19"/>
  <c r="O80" i="19"/>
  <c r="O79" i="19"/>
  <c r="O78" i="19"/>
  <c r="O77" i="19"/>
  <c r="O74" i="19"/>
  <c r="O73" i="19"/>
  <c r="O71" i="19"/>
  <c r="O70" i="19"/>
  <c r="O69" i="19"/>
  <c r="O68" i="19"/>
  <c r="O66" i="19"/>
  <c r="O65" i="19"/>
  <c r="O64" i="19"/>
  <c r="O63" i="19"/>
  <c r="O62" i="19"/>
  <c r="O61" i="19"/>
  <c r="O60" i="19"/>
  <c r="O57" i="19"/>
  <c r="O56" i="19"/>
  <c r="O55" i="19"/>
  <c r="O54" i="19"/>
  <c r="O53" i="19"/>
  <c r="O51" i="19"/>
  <c r="O50" i="19"/>
  <c r="O49" i="19"/>
  <c r="O48" i="19"/>
  <c r="O47" i="19"/>
  <c r="O46" i="19"/>
  <c r="O45" i="19"/>
  <c r="O40" i="19"/>
  <c r="O36" i="19"/>
  <c r="O27" i="19"/>
  <c r="O26" i="19"/>
  <c r="O25" i="19"/>
  <c r="O24" i="19"/>
  <c r="O23" i="19"/>
  <c r="O22" i="19"/>
  <c r="O21" i="19"/>
  <c r="O20" i="19"/>
  <c r="O19" i="19"/>
  <c r="O18" i="19"/>
  <c r="O17" i="19"/>
  <c r="O16" i="19"/>
  <c r="O15" i="19"/>
  <c r="O14" i="19"/>
  <c r="O13" i="19"/>
  <c r="O12" i="19"/>
  <c r="O11" i="19"/>
  <c r="O10" i="19"/>
  <c r="J64" i="19"/>
  <c r="J23" i="19"/>
  <c r="A29" i="19"/>
  <c r="A30" i="19" s="1"/>
  <c r="A31" i="19" s="1"/>
  <c r="A32" i="19" s="1"/>
  <c r="A33" i="19" s="1"/>
  <c r="A34" i="19" s="1"/>
  <c r="A35" i="19" s="1"/>
  <c r="A37" i="19" s="1"/>
  <c r="A38" i="19" s="1"/>
  <c r="A39" i="19" s="1"/>
  <c r="A41" i="19" s="1"/>
  <c r="A42" i="19" s="1"/>
  <c r="A43" i="19" s="1"/>
  <c r="A44" i="19" s="1"/>
  <c r="A52" i="19" s="1"/>
  <c r="A58" i="19" s="1"/>
  <c r="A59" i="19" s="1"/>
  <c r="A67" i="19" s="1"/>
  <c r="A72" i="19" s="1"/>
  <c r="A75" i="19" s="1"/>
  <c r="A76" i="19" s="1"/>
  <c r="A87" i="19" s="1"/>
  <c r="A88" i="19" s="1"/>
  <c r="A91" i="19" s="1"/>
  <c r="A92" i="19" s="1"/>
  <c r="A95" i="19" s="1"/>
  <c r="A96" i="19" s="1"/>
  <c r="A98" i="19" s="1"/>
  <c r="A100" i="19" s="1"/>
  <c r="A102" i="19" s="1"/>
  <c r="A105" i="19" s="1"/>
  <c r="A107" i="19" s="1"/>
  <c r="A111" i="19" s="1"/>
  <c r="A112" i="19" s="1"/>
  <c r="A119" i="19" s="1"/>
  <c r="A126" i="19" s="1"/>
  <c r="A127" i="19" s="1"/>
  <c r="A129" i="19" s="1"/>
  <c r="A130" i="19" s="1"/>
  <c r="A137" i="19" s="1"/>
  <c r="A140" i="19" s="1"/>
  <c r="A147" i="19" s="1"/>
  <c r="A156" i="19" s="1"/>
  <c r="A157" i="19" s="1"/>
  <c r="A158" i="19" s="1"/>
  <c r="A161" i="19" s="1"/>
  <c r="A163" i="19" s="1"/>
  <c r="A166" i="19" s="1"/>
  <c r="A167" i="19" s="1"/>
  <c r="A168" i="19" s="1"/>
  <c r="A169" i="19" s="1"/>
  <c r="A170" i="19" s="1"/>
  <c r="A179" i="19" s="1"/>
  <c r="A182" i="19" s="1"/>
  <c r="A184" i="19" s="1"/>
  <c r="A185" i="19" s="1"/>
  <c r="A188" i="19" s="1"/>
  <c r="A198" i="19" s="1"/>
  <c r="A200" i="19" s="1"/>
  <c r="A205" i="19" s="1"/>
  <c r="A212" i="19" s="1"/>
  <c r="A218" i="19" s="1"/>
  <c r="A222" i="19" s="1"/>
  <c r="A223" i="19" s="1"/>
  <c r="A225" i="19" s="1"/>
  <c r="A228" i="19" s="1"/>
  <c r="A229" i="19" s="1"/>
  <c r="A231" i="19" s="1"/>
  <c r="A233" i="19" s="1"/>
  <c r="A236" i="19" s="1"/>
  <c r="A242" i="19" s="1"/>
  <c r="A244" i="19" s="1"/>
  <c r="B240" i="19"/>
  <c r="B228" i="19"/>
  <c r="B223" i="19"/>
  <c r="B218" i="19"/>
  <c r="C200" i="19"/>
  <c r="B194" i="19"/>
  <c r="D185" i="19"/>
  <c r="B181" i="19"/>
  <c r="C174" i="19"/>
  <c r="B168" i="19"/>
  <c r="E163" i="19"/>
  <c r="E158" i="19"/>
  <c r="C154" i="19"/>
  <c r="B145" i="19"/>
  <c r="B137" i="19"/>
  <c r="B129" i="19"/>
  <c r="B124" i="19"/>
  <c r="D112" i="19"/>
  <c r="E105" i="19"/>
  <c r="E100" i="19"/>
  <c r="C96" i="19"/>
  <c r="D87" i="19"/>
  <c r="B80" i="19"/>
  <c r="E72" i="19"/>
  <c r="C59" i="19"/>
  <c r="C51" i="19"/>
  <c r="C43" i="19"/>
  <c r="D39" i="19"/>
  <c r="E35" i="19"/>
  <c r="D32" i="19"/>
  <c r="C29" i="19"/>
  <c r="B20" i="19"/>
  <c r="B12" i="19"/>
  <c r="E236" i="19"/>
  <c r="E231" i="19"/>
  <c r="C227" i="19"/>
  <c r="C217" i="19"/>
  <c r="E205" i="19"/>
  <c r="B200" i="19"/>
  <c r="C193" i="19"/>
  <c r="C185" i="19"/>
  <c r="C180" i="19"/>
  <c r="B174" i="19"/>
  <c r="F167" i="19"/>
  <c r="D163" i="19"/>
  <c r="D158" i="19"/>
  <c r="B154" i="19"/>
  <c r="C144" i="19"/>
  <c r="C136" i="19"/>
  <c r="C128" i="19"/>
  <c r="C123" i="19"/>
  <c r="C112" i="19"/>
  <c r="D105" i="19"/>
  <c r="D100" i="19"/>
  <c r="B96" i="19"/>
  <c r="E91" i="19"/>
  <c r="C87" i="19"/>
  <c r="F76" i="19"/>
  <c r="D72" i="19"/>
  <c r="B59" i="19"/>
  <c r="B51" i="19"/>
  <c r="C39" i="19"/>
  <c r="D35" i="19"/>
  <c r="C32" i="19"/>
  <c r="B29" i="19"/>
  <c r="C19" i="19"/>
  <c r="C11" i="19"/>
  <c r="C104" i="19"/>
  <c r="B86" i="19"/>
  <c r="D42" i="19"/>
  <c r="E31" i="19"/>
  <c r="B222" i="19"/>
  <c r="C170" i="19"/>
  <c r="C134" i="19"/>
  <c r="B99" i="19"/>
  <c r="B71" i="19"/>
  <c r="D38" i="19"/>
  <c r="C17" i="19"/>
  <c r="E225" i="19"/>
  <c r="E188" i="19"/>
  <c r="C140" i="19"/>
  <c r="C103" i="19"/>
  <c r="F67" i="19"/>
  <c r="D34" i="19"/>
  <c r="F242" i="19"/>
  <c r="B221" i="19"/>
  <c r="C198" i="19"/>
  <c r="B179" i="19"/>
  <c r="C157" i="19"/>
  <c r="B127" i="19"/>
  <c r="B103" i="19"/>
  <c r="C84" i="19"/>
  <c r="B48" i="19"/>
  <c r="B31" i="19"/>
  <c r="E244" i="19"/>
  <c r="B43" i="19"/>
  <c r="B167" i="19"/>
  <c r="D111" i="19"/>
  <c r="B76" i="19"/>
  <c r="C42" i="19"/>
  <c r="C28" i="19"/>
  <c r="B230" i="19"/>
  <c r="C184" i="19"/>
  <c r="B134" i="19"/>
  <c r="C111" i="19"/>
  <c r="B90" i="19"/>
  <c r="B58" i="19"/>
  <c r="C38" i="19"/>
  <c r="B28" i="19"/>
  <c r="D225" i="19"/>
  <c r="C203" i="19"/>
  <c r="B184" i="19"/>
  <c r="E161" i="19"/>
  <c r="B140" i="19"/>
  <c r="B111" i="19"/>
  <c r="C94" i="19"/>
  <c r="C89" i="19"/>
  <c r="E67" i="19"/>
  <c r="F41" i="19"/>
  <c r="C34" i="19"/>
  <c r="C16" i="19"/>
  <c r="D244" i="19"/>
  <c r="D236" i="19"/>
  <c r="D231" i="19"/>
  <c r="B227" i="19"/>
  <c r="E222" i="19"/>
  <c r="B217" i="19"/>
  <c r="D205" i="19"/>
  <c r="C199" i="19"/>
  <c r="B193" i="19"/>
  <c r="B185" i="19"/>
  <c r="B180" i="19"/>
  <c r="E167" i="19"/>
  <c r="C163" i="19"/>
  <c r="C158" i="19"/>
  <c r="C153" i="19"/>
  <c r="B144" i="19"/>
  <c r="B136" i="19"/>
  <c r="B128" i="19"/>
  <c r="B123" i="19"/>
  <c r="B112" i="19"/>
  <c r="C105" i="19"/>
  <c r="C100" i="19"/>
  <c r="D91" i="19"/>
  <c r="B87" i="19"/>
  <c r="E76" i="19"/>
  <c r="C72" i="19"/>
  <c r="F58" i="19"/>
  <c r="C50" i="19"/>
  <c r="F42" i="19"/>
  <c r="B39" i="19"/>
  <c r="C35" i="19"/>
  <c r="B32" i="19"/>
  <c r="F28" i="19"/>
  <c r="B19" i="19"/>
  <c r="B11" i="19"/>
  <c r="C18" i="19"/>
  <c r="B244" i="19"/>
  <c r="B236" i="19"/>
  <c r="B231" i="19"/>
  <c r="B226" i="19"/>
  <c r="C222" i="19"/>
  <c r="B216" i="19"/>
  <c r="B205" i="19"/>
  <c r="B192" i="19"/>
  <c r="E184" i="19"/>
  <c r="E179" i="19"/>
  <c r="D170" i="19"/>
  <c r="C167" i="19"/>
  <c r="C162" i="19"/>
  <c r="C152" i="19"/>
  <c r="E140" i="19"/>
  <c r="B135" i="19"/>
  <c r="E127" i="19"/>
  <c r="E111" i="19"/>
  <c r="C99" i="19"/>
  <c r="B91" i="19"/>
  <c r="C71" i="19"/>
  <c r="C49" i="19"/>
  <c r="F34" i="19"/>
  <c r="B18" i="19"/>
  <c r="C243" i="19"/>
  <c r="C230" i="19"/>
  <c r="E198" i="19"/>
  <c r="D184" i="19"/>
  <c r="B162" i="19"/>
  <c r="B152" i="19"/>
  <c r="D127" i="19"/>
  <c r="B104" i="19"/>
  <c r="C90" i="19"/>
  <c r="C58" i="19"/>
  <c r="E34" i="19"/>
  <c r="B243" i="19"/>
  <c r="C221" i="19"/>
  <c r="B204" i="19"/>
  <c r="C179" i="19"/>
  <c r="D157" i="19"/>
  <c r="C127" i="19"/>
  <c r="B85" i="19"/>
  <c r="C48" i="19"/>
  <c r="C31" i="19"/>
  <c r="F229" i="19"/>
  <c r="C57" i="19"/>
  <c r="C244" i="19"/>
  <c r="C236" i="19"/>
  <c r="C231" i="19"/>
  <c r="C226" i="19"/>
  <c r="D222" i="19"/>
  <c r="C216" i="19"/>
  <c r="C205" i="19"/>
  <c r="B199" i="19"/>
  <c r="C192" i="19"/>
  <c r="F184" i="19"/>
  <c r="F179" i="19"/>
  <c r="E170" i="19"/>
  <c r="D167" i="19"/>
  <c r="B163" i="19"/>
  <c r="B158" i="19"/>
  <c r="B153" i="19"/>
  <c r="F140" i="19"/>
  <c r="C135" i="19"/>
  <c r="F127" i="19"/>
  <c r="F111" i="19"/>
  <c r="B105" i="19"/>
  <c r="B100" i="19"/>
  <c r="E95" i="19"/>
  <c r="C91" i="19"/>
  <c r="C86" i="19"/>
  <c r="D76" i="19"/>
  <c r="B72" i="19"/>
  <c r="E58" i="19"/>
  <c r="B50" i="19"/>
  <c r="E42" i="19"/>
  <c r="F38" i="19"/>
  <c r="B35" i="19"/>
  <c r="F31" i="19"/>
  <c r="E28" i="19"/>
  <c r="F198" i="19"/>
  <c r="E119" i="19"/>
  <c r="D95" i="19"/>
  <c r="C76" i="19"/>
  <c r="D58" i="19"/>
  <c r="E38" i="19"/>
  <c r="D28" i="19"/>
  <c r="C235" i="19"/>
  <c r="C204" i="19"/>
  <c r="D179" i="19"/>
  <c r="E157" i="19"/>
  <c r="D140" i="19"/>
  <c r="D119" i="19"/>
  <c r="C95" i="19"/>
  <c r="C85" i="19"/>
  <c r="B49" i="19"/>
  <c r="D31" i="19"/>
  <c r="B235" i="19"/>
  <c r="E212" i="19"/>
  <c r="D198" i="19"/>
  <c r="B170" i="19"/>
  <c r="C151" i="19"/>
  <c r="C119" i="19"/>
  <c r="B95" i="19"/>
  <c r="F75" i="19"/>
  <c r="B42" i="19"/>
  <c r="B17" i="19"/>
  <c r="C234" i="19"/>
  <c r="D212" i="19"/>
  <c r="D188" i="19"/>
  <c r="E166" i="19"/>
  <c r="B151" i="19"/>
  <c r="B119" i="19"/>
  <c r="E98" i="19"/>
  <c r="E75" i="19"/>
  <c r="B38" i="19"/>
  <c r="C27" i="19"/>
  <c r="D242" i="19"/>
  <c r="F233" i="19"/>
  <c r="D229" i="19"/>
  <c r="B225" i="19"/>
  <c r="B220" i="19"/>
  <c r="B212" i="19"/>
  <c r="C202" i="19"/>
  <c r="C197" i="19"/>
  <c r="B188" i="19"/>
  <c r="B183" i="19"/>
  <c r="B178" i="19"/>
  <c r="D169" i="19"/>
  <c r="C166" i="19"/>
  <c r="C161" i="19"/>
  <c r="E147" i="19"/>
  <c r="B139" i="19"/>
  <c r="D130" i="19"/>
  <c r="E126" i="19"/>
  <c r="B118" i="19"/>
  <c r="E107" i="19"/>
  <c r="E102" i="19"/>
  <c r="C98" i="19"/>
  <c r="C93" i="19"/>
  <c r="F88" i="19"/>
  <c r="C83" i="19"/>
  <c r="C75" i="19"/>
  <c r="C67" i="19"/>
  <c r="C56" i="19"/>
  <c r="E44" i="19"/>
  <c r="D41" i="19"/>
  <c r="E37" i="19"/>
  <c r="F33" i="19"/>
  <c r="E30" i="19"/>
  <c r="C26" i="19"/>
  <c r="C15" i="19"/>
  <c r="C242" i="19"/>
  <c r="E233" i="19"/>
  <c r="C229" i="19"/>
  <c r="C224" i="19"/>
  <c r="C219" i="19"/>
  <c r="C211" i="19"/>
  <c r="B202" i="19"/>
  <c r="B197" i="19"/>
  <c r="C187" i="19"/>
  <c r="F182" i="19"/>
  <c r="C177" i="19"/>
  <c r="C169" i="19"/>
  <c r="B166" i="19"/>
  <c r="B161" i="19"/>
  <c r="E156" i="19"/>
  <c r="D147" i="19"/>
  <c r="C138" i="19"/>
  <c r="C130" i="19"/>
  <c r="D126" i="19"/>
  <c r="C117" i="19"/>
  <c r="D107" i="19"/>
  <c r="D102" i="19"/>
  <c r="B98" i="19"/>
  <c r="B93" i="19"/>
  <c r="E88" i="19"/>
  <c r="B83" i="19"/>
  <c r="B75" i="19"/>
  <c r="B67" i="19"/>
  <c r="B56" i="19"/>
  <c r="D44" i="19"/>
  <c r="C41" i="19"/>
  <c r="D37" i="19"/>
  <c r="E33" i="19"/>
  <c r="D30" i="19"/>
  <c r="B26" i="19"/>
  <c r="B15" i="19"/>
  <c r="B242" i="19"/>
  <c r="D233" i="19"/>
  <c r="B229" i="19"/>
  <c r="B224" i="19"/>
  <c r="B219" i="19"/>
  <c r="B211" i="19"/>
  <c r="C201" i="19"/>
  <c r="C196" i="19"/>
  <c r="B187" i="19"/>
  <c r="E182" i="19"/>
  <c r="B177" i="19"/>
  <c r="B169" i="19"/>
  <c r="C165" i="19"/>
  <c r="C160" i="19"/>
  <c r="D156" i="19"/>
  <c r="C147" i="19"/>
  <c r="B138" i="19"/>
  <c r="B130" i="19"/>
  <c r="C126" i="19"/>
  <c r="B117" i="19"/>
  <c r="C107" i="19"/>
  <c r="C102" i="19"/>
  <c r="C97" i="19"/>
  <c r="D88" i="19"/>
  <c r="C82" i="19"/>
  <c r="C74" i="19"/>
  <c r="C63" i="19"/>
  <c r="F52" i="19"/>
  <c r="C44" i="19"/>
  <c r="B41" i="19"/>
  <c r="C37" i="19"/>
  <c r="D33" i="19"/>
  <c r="C30" i="19"/>
  <c r="C22" i="19"/>
  <c r="C14" i="19"/>
  <c r="C241" i="19"/>
  <c r="C233" i="19"/>
  <c r="F228" i="19"/>
  <c r="F218" i="19"/>
  <c r="C210" i="19"/>
  <c r="B201" i="19"/>
  <c r="B196" i="19"/>
  <c r="C186" i="19"/>
  <c r="D182" i="19"/>
  <c r="C176" i="19"/>
  <c r="B165" i="19"/>
  <c r="B160" i="19"/>
  <c r="C156" i="19"/>
  <c r="B147" i="19"/>
  <c r="B126" i="19"/>
  <c r="D223" i="19"/>
  <c r="B195" i="19"/>
  <c r="D168" i="19"/>
  <c r="B146" i="19"/>
  <c r="B116" i="19"/>
  <c r="E96" i="19"/>
  <c r="C80" i="19"/>
  <c r="F44" i="19"/>
  <c r="C33" i="19"/>
  <c r="C13" i="19"/>
  <c r="B33" i="19"/>
  <c r="C220" i="19"/>
  <c r="C139" i="19"/>
  <c r="B74" i="19"/>
  <c r="F32" i="19"/>
  <c r="D218" i="19"/>
  <c r="D43" i="19"/>
  <c r="C212" i="19"/>
  <c r="D161" i="19"/>
  <c r="B92" i="19"/>
  <c r="C40" i="19"/>
  <c r="B233" i="19"/>
  <c r="C182" i="19"/>
  <c r="E129" i="19"/>
  <c r="B89" i="19"/>
  <c r="C209" i="19"/>
  <c r="C88" i="19"/>
  <c r="D29" i="19"/>
  <c r="B232" i="19"/>
  <c r="B27" i="19"/>
  <c r="E229" i="19"/>
  <c r="B157" i="19"/>
  <c r="F126" i="19"/>
  <c r="D59" i="19"/>
  <c r="B101" i="19"/>
  <c r="D228" i="19"/>
  <c r="B175" i="19"/>
  <c r="C81" i="19"/>
  <c r="E168" i="19"/>
  <c r="B34" i="19"/>
  <c r="C223" i="19"/>
  <c r="C194" i="19"/>
  <c r="C168" i="19"/>
  <c r="C145" i="19"/>
  <c r="F112" i="19"/>
  <c r="D96" i="19"/>
  <c r="D75" i="19"/>
  <c r="B44" i="19"/>
  <c r="B13" i="19"/>
  <c r="C188" i="19"/>
  <c r="D166" i="19"/>
  <c r="E112" i="19"/>
  <c r="B94" i="19"/>
  <c r="F43" i="19"/>
  <c r="C12" i="19"/>
  <c r="B164" i="19"/>
  <c r="B107" i="19"/>
  <c r="D92" i="19"/>
  <c r="F30" i="19"/>
  <c r="C240" i="19"/>
  <c r="C218" i="19"/>
  <c r="C137" i="19"/>
  <c r="C106" i="19"/>
  <c r="C92" i="19"/>
  <c r="E41" i="19"/>
  <c r="B30" i="19"/>
  <c r="B234" i="19"/>
  <c r="C183" i="19"/>
  <c r="E130" i="19"/>
  <c r="B106" i="19"/>
  <c r="D67" i="19"/>
  <c r="B210" i="19"/>
  <c r="C159" i="19"/>
  <c r="F105" i="19"/>
  <c r="B63" i="19"/>
  <c r="E29" i="19"/>
  <c r="C232" i="19"/>
  <c r="B182" i="19"/>
  <c r="B159" i="19"/>
  <c r="F59" i="19"/>
  <c r="F39" i="19"/>
  <c r="B209" i="19"/>
  <c r="C181" i="19"/>
  <c r="C129" i="19"/>
  <c r="B102" i="19"/>
  <c r="B88" i="19"/>
  <c r="E59" i="19"/>
  <c r="E39" i="19"/>
  <c r="B203" i="19"/>
  <c r="F87" i="19"/>
  <c r="B22" i="19"/>
  <c r="E228" i="19"/>
  <c r="B176" i="19"/>
  <c r="B156" i="19"/>
  <c r="C125" i="19"/>
  <c r="E87" i="19"/>
  <c r="B57" i="19"/>
  <c r="B37" i="19"/>
  <c r="E200" i="19"/>
  <c r="C175" i="19"/>
  <c r="C155" i="19"/>
  <c r="F100" i="19"/>
  <c r="B84" i="19"/>
  <c r="E52" i="19"/>
  <c r="C36" i="19"/>
  <c r="B21" i="19"/>
  <c r="C228" i="19"/>
  <c r="D200" i="19"/>
  <c r="C124" i="19"/>
  <c r="D98" i="19"/>
  <c r="B82" i="19"/>
  <c r="D52" i="19"/>
  <c r="B36" i="19"/>
  <c r="C20" i="19"/>
  <c r="C225" i="19"/>
  <c r="E169" i="19"/>
  <c r="C118" i="19"/>
  <c r="B97" i="19"/>
  <c r="C52" i="19"/>
  <c r="F35" i="19"/>
  <c r="B16" i="19"/>
  <c r="E223" i="19"/>
  <c r="C195" i="19"/>
  <c r="C116" i="19"/>
  <c r="B81" i="19"/>
  <c r="B52" i="19"/>
  <c r="B14" i="19"/>
  <c r="E242" i="19"/>
  <c r="E218" i="19"/>
  <c r="B186" i="19"/>
  <c r="C164" i="19"/>
  <c r="E137" i="19"/>
  <c r="F107" i="19"/>
  <c r="E92" i="19"/>
  <c r="C73" i="19"/>
  <c r="E43" i="19"/>
  <c r="E32" i="19"/>
  <c r="B241" i="19"/>
  <c r="F185" i="19"/>
  <c r="D137" i="19"/>
  <c r="B73" i="19"/>
  <c r="E185" i="19"/>
  <c r="F72" i="19"/>
  <c r="F29" i="19"/>
  <c r="B40" i="19"/>
  <c r="D129" i="19"/>
  <c r="C178" i="19"/>
  <c r="C101" i="19"/>
  <c r="F37" i="19"/>
  <c r="C21" i="19"/>
  <c r="B125" i="19"/>
  <c r="B155" i="19"/>
  <c r="B198" i="19"/>
  <c r="C146" i="19"/>
  <c r="AA28" i="19" l="1"/>
  <c r="U28" i="19"/>
  <c r="O28" i="19"/>
  <c r="AA29" i="19"/>
  <c r="U29" i="19"/>
  <c r="O29" i="19"/>
  <c r="AA30" i="19"/>
  <c r="U30" i="19"/>
  <c r="O30" i="19"/>
  <c r="U31" i="19"/>
  <c r="O31" i="19"/>
  <c r="AA31" i="19"/>
  <c r="U32" i="19"/>
  <c r="O32" i="19"/>
  <c r="AA32" i="19"/>
  <c r="U33" i="19"/>
  <c r="O33" i="19"/>
  <c r="AA33" i="19"/>
  <c r="U34" i="19"/>
  <c r="O34" i="19"/>
  <c r="AA34" i="19"/>
  <c r="U35" i="19"/>
  <c r="O35" i="19"/>
  <c r="AA35" i="19"/>
  <c r="U37" i="19"/>
  <c r="O37" i="19"/>
  <c r="AA37" i="19"/>
  <c r="U38" i="19"/>
  <c r="O38" i="19"/>
  <c r="AA38" i="19"/>
  <c r="O39" i="19"/>
  <c r="AA39" i="19"/>
  <c r="U39" i="19"/>
  <c r="O41" i="19"/>
  <c r="AA41" i="19"/>
  <c r="U41" i="19"/>
  <c r="O42" i="19"/>
  <c r="AA42" i="19"/>
  <c r="U42" i="19"/>
  <c r="O43" i="19"/>
  <c r="AA43" i="19"/>
  <c r="U43" i="19"/>
  <c r="AA44" i="19"/>
  <c r="O44" i="19"/>
  <c r="U44" i="19"/>
  <c r="U52" i="19"/>
  <c r="O52" i="19"/>
  <c r="AA52" i="19"/>
  <c r="O58" i="19"/>
  <c r="AA58" i="19"/>
  <c r="U58" i="19"/>
  <c r="O59" i="19"/>
  <c r="AA59" i="19"/>
  <c r="U59" i="19"/>
  <c r="U67" i="19"/>
  <c r="O67" i="19"/>
  <c r="AA67" i="19"/>
  <c r="O72" i="19"/>
  <c r="AA72" i="19"/>
  <c r="U72" i="19"/>
  <c r="O75" i="19"/>
  <c r="AA75" i="19"/>
  <c r="U75" i="19"/>
  <c r="AA76" i="19"/>
  <c r="O76" i="19"/>
  <c r="U76" i="19"/>
  <c r="O87" i="19"/>
  <c r="AA87" i="19"/>
  <c r="U87" i="19"/>
  <c r="O88" i="19"/>
  <c r="AA88" i="19"/>
  <c r="U88" i="19"/>
  <c r="U100" i="19"/>
  <c r="O100" i="19"/>
  <c r="AA100" i="19"/>
  <c r="O105" i="19"/>
  <c r="AA105" i="19"/>
  <c r="U105" i="19"/>
  <c r="O107" i="19"/>
  <c r="AA107" i="19"/>
  <c r="U107" i="19"/>
  <c r="U111" i="19"/>
  <c r="O111" i="19"/>
  <c r="AA111" i="19"/>
  <c r="U112" i="19"/>
  <c r="O112" i="19"/>
  <c r="AA112" i="19"/>
  <c r="AA126" i="19"/>
  <c r="O126" i="19"/>
  <c r="U126" i="19"/>
  <c r="U127" i="19"/>
  <c r="O127" i="19"/>
  <c r="AA127" i="19"/>
  <c r="AA140" i="19"/>
  <c r="O140" i="19"/>
  <c r="U140" i="19"/>
  <c r="O167" i="19"/>
  <c r="AA167" i="19"/>
  <c r="U167" i="19"/>
  <c r="U179" i="19"/>
  <c r="O179" i="19"/>
  <c r="AA179" i="19"/>
  <c r="U182" i="19"/>
  <c r="O182" i="19"/>
  <c r="AA182" i="19"/>
  <c r="O184" i="19"/>
  <c r="AA184" i="19"/>
  <c r="U184" i="19"/>
  <c r="O185" i="19"/>
  <c r="AA185" i="19"/>
  <c r="U185" i="19"/>
  <c r="U198" i="19"/>
  <c r="O198" i="19"/>
  <c r="AA198" i="19"/>
  <c r="O218" i="19"/>
  <c r="AA218" i="19"/>
  <c r="U218" i="19"/>
  <c r="U228" i="19"/>
  <c r="O228" i="19"/>
  <c r="AA228" i="19"/>
  <c r="U229" i="19"/>
  <c r="O229" i="19"/>
  <c r="AA229" i="19"/>
  <c r="O233" i="19"/>
  <c r="AA233" i="19"/>
  <c r="U233" i="19"/>
  <c r="U242" i="19"/>
  <c r="O242" i="19"/>
  <c r="AA242" i="19"/>
  <c r="I28" i="19"/>
  <c r="I29" i="19"/>
  <c r="I30" i="19"/>
  <c r="I31" i="19"/>
  <c r="I32" i="19"/>
  <c r="I33" i="19"/>
  <c r="I34" i="19"/>
  <c r="I35" i="19"/>
  <c r="I37" i="19"/>
  <c r="I38" i="19"/>
  <c r="I39" i="19"/>
  <c r="I41" i="19"/>
  <c r="I42" i="19"/>
  <c r="I43" i="19"/>
  <c r="I44" i="19"/>
  <c r="I52" i="19"/>
  <c r="J53" i="19" s="1"/>
  <c r="I58" i="19"/>
  <c r="I59" i="19"/>
  <c r="I67" i="19"/>
  <c r="J68" i="19" s="1"/>
  <c r="I72" i="19"/>
  <c r="I75" i="19"/>
  <c r="I76" i="19"/>
  <c r="I87" i="19"/>
  <c r="I88" i="19"/>
  <c r="I100" i="19"/>
  <c r="I105" i="19"/>
  <c r="I107" i="19"/>
  <c r="I111" i="19"/>
  <c r="I112" i="19"/>
  <c r="I126" i="19"/>
  <c r="I127" i="19"/>
  <c r="I140" i="19"/>
  <c r="I167" i="19"/>
  <c r="I179" i="19"/>
  <c r="I182" i="19"/>
  <c r="I184" i="19"/>
  <c r="I185" i="19"/>
  <c r="I198" i="19"/>
  <c r="I218" i="19"/>
  <c r="I228" i="19"/>
  <c r="I229" i="19"/>
  <c r="I233" i="19"/>
  <c r="I242" i="19"/>
  <c r="J113" i="19" l="1"/>
  <c r="J77" i="19"/>
  <c r="J60" i="19"/>
  <c r="J45" i="19"/>
  <c r="I292" i="2"/>
  <c r="I291" i="2"/>
  <c r="I290" i="2"/>
  <c r="I289" i="2"/>
  <c r="I789" i="2"/>
  <c r="I790" i="2"/>
  <c r="I791" i="2"/>
  <c r="I792" i="2"/>
  <c r="I767" i="2"/>
  <c r="I769" i="2"/>
  <c r="I770" i="2"/>
  <c r="I745" i="2"/>
  <c r="I746" i="2"/>
  <c r="I747" i="2"/>
  <c r="I748" i="2"/>
  <c r="I719" i="2"/>
  <c r="I722" i="2"/>
  <c r="I707" i="2"/>
  <c r="I710" i="2"/>
  <c r="I670" i="2"/>
  <c r="I671" i="2"/>
  <c r="I672" i="2"/>
  <c r="I673" i="2"/>
  <c r="I648" i="2"/>
  <c r="I653" i="2"/>
  <c r="I654" i="2"/>
  <c r="I655" i="2"/>
  <c r="I592" i="2"/>
  <c r="I600" i="2"/>
  <c r="I601" i="2"/>
  <c r="I602" i="2"/>
  <c r="I537" i="2"/>
  <c r="I538" i="2"/>
  <c r="I539" i="2"/>
  <c r="I540" i="2"/>
  <c r="I528" i="2"/>
  <c r="I529" i="2"/>
  <c r="I530" i="2"/>
  <c r="I531" i="2"/>
  <c r="I519" i="2"/>
  <c r="I520" i="2"/>
  <c r="I521" i="2"/>
  <c r="I522" i="2"/>
  <c r="I506" i="2"/>
  <c r="I507" i="2"/>
  <c r="I508" i="2"/>
  <c r="I509" i="2"/>
  <c r="I491" i="2"/>
  <c r="I493" i="2"/>
  <c r="I494" i="2"/>
  <c r="I479" i="2"/>
  <c r="I480" i="2"/>
  <c r="I481" i="2"/>
  <c r="I482" i="2"/>
  <c r="I464" i="2"/>
  <c r="I465" i="2"/>
  <c r="I466" i="2"/>
  <c r="I467" i="2"/>
  <c r="I453" i="2"/>
  <c r="I456" i="2"/>
  <c r="I457" i="2"/>
  <c r="I458" i="2"/>
  <c r="I440" i="2"/>
  <c r="I441" i="2"/>
  <c r="I445" i="2"/>
  <c r="I447" i="2"/>
  <c r="I416" i="2"/>
  <c r="I418" i="2"/>
  <c r="I419" i="2"/>
  <c r="I388" i="2"/>
  <c r="I390" i="2"/>
  <c r="I391" i="2"/>
  <c r="I370" i="2"/>
  <c r="I371" i="2"/>
  <c r="I372" i="2"/>
  <c r="I373" i="2"/>
  <c r="I361" i="2"/>
  <c r="I364" i="2"/>
  <c r="I332" i="2"/>
  <c r="I333" i="2"/>
  <c r="I334" i="2"/>
  <c r="I335" i="2"/>
  <c r="I267" i="2"/>
  <c r="I272" i="2"/>
  <c r="I273" i="2"/>
  <c r="I256" i="2"/>
  <c r="I258" i="2"/>
  <c r="I244" i="2"/>
  <c r="I249" i="2"/>
  <c r="I250" i="2"/>
  <c r="I230" i="2"/>
  <c r="I231" i="2"/>
  <c r="I232" i="2"/>
  <c r="I213" i="2"/>
  <c r="I223" i="2"/>
  <c r="I224" i="2"/>
  <c r="I293" i="2" l="1"/>
  <c r="I495" i="2"/>
  <c r="I541" i="2"/>
  <c r="I674" i="2"/>
  <c r="I749" i="2"/>
  <c r="I274" i="2"/>
  <c r="I468" i="2"/>
  <c r="I225" i="2"/>
  <c r="I336" i="2"/>
  <c r="I483" i="2"/>
  <c r="I656" i="2"/>
  <c r="I365" i="2"/>
  <c r="I448" i="2"/>
  <c r="I532" i="2"/>
  <c r="I374" i="2"/>
  <c r="I459" i="2"/>
  <c r="I259" i="2"/>
  <c r="I510" i="2"/>
  <c r="I603" i="2"/>
  <c r="I771" i="2"/>
  <c r="I523" i="2"/>
  <c r="I793" i="2"/>
  <c r="I251" i="2"/>
  <c r="I389" i="2" s="1"/>
  <c r="E417" i="2" s="1"/>
  <c r="I417" i="2" s="1"/>
  <c r="I420" i="2" s="1"/>
  <c r="I233" i="2"/>
  <c r="F102" i="19"/>
  <c r="F163" i="19"/>
  <c r="F129" i="19"/>
  <c r="F156" i="19"/>
  <c r="F166" i="19"/>
  <c r="F236" i="19"/>
  <c r="F169" i="19"/>
  <c r="F157" i="19"/>
  <c r="F212" i="19"/>
  <c r="F170" i="19"/>
  <c r="F98" i="19"/>
  <c r="F158" i="19"/>
  <c r="F130" i="19"/>
  <c r="F96" i="19"/>
  <c r="F231" i="19"/>
  <c r="F188" i="19"/>
  <c r="F91" i="19"/>
  <c r="F200" i="19"/>
  <c r="F161" i="19"/>
  <c r="F205" i="19"/>
  <c r="F92" i="19"/>
  <c r="F168" i="19"/>
  <c r="F119" i="19"/>
  <c r="F147" i="19"/>
  <c r="F244" i="19"/>
  <c r="F95" i="19"/>
  <c r="E721" i="2" l="1"/>
  <c r="E709" i="2"/>
  <c r="I392" i="2"/>
  <c r="O102" i="19"/>
  <c r="I102" i="19"/>
  <c r="U102" i="19"/>
  <c r="AA102" i="19"/>
  <c r="O163" i="19"/>
  <c r="U163" i="19"/>
  <c r="AA163" i="19"/>
  <c r="I163" i="19"/>
  <c r="AA95" i="19"/>
  <c r="I95" i="19"/>
  <c r="U95" i="19"/>
  <c r="O95" i="19"/>
  <c r="I244" i="19"/>
  <c r="J245" i="19" s="1"/>
  <c r="AA244" i="19"/>
  <c r="O244" i="19"/>
  <c r="U244" i="19"/>
  <c r="AA147" i="19"/>
  <c r="U147" i="19"/>
  <c r="O147" i="19"/>
  <c r="I147" i="19"/>
  <c r="J148" i="19" s="1"/>
  <c r="O119" i="19"/>
  <c r="AA119" i="19"/>
  <c r="U119" i="19"/>
  <c r="I119" i="19"/>
  <c r="J120" i="19" s="1"/>
  <c r="O168" i="19"/>
  <c r="U168" i="19"/>
  <c r="AA168" i="19"/>
  <c r="I168" i="19"/>
  <c r="I92" i="19"/>
  <c r="AA92" i="19"/>
  <c r="O92" i="19"/>
  <c r="U92" i="19"/>
  <c r="O205" i="19"/>
  <c r="AA205" i="19"/>
  <c r="U205" i="19"/>
  <c r="I205" i="19"/>
  <c r="AA161" i="19"/>
  <c r="I161" i="19"/>
  <c r="U161" i="19"/>
  <c r="O161" i="19"/>
  <c r="I200" i="19"/>
  <c r="O200" i="19"/>
  <c r="AA200" i="19"/>
  <c r="U200" i="19"/>
  <c r="U91" i="19"/>
  <c r="O91" i="19"/>
  <c r="AA91" i="19"/>
  <c r="I91" i="19"/>
  <c r="O188" i="19"/>
  <c r="AA188" i="19"/>
  <c r="U188" i="19"/>
  <c r="I188" i="19"/>
  <c r="J189" i="19" s="1"/>
  <c r="O231" i="19"/>
  <c r="AA231" i="19"/>
  <c r="U231" i="19"/>
  <c r="I231" i="19"/>
  <c r="U96" i="19"/>
  <c r="O96" i="19"/>
  <c r="AA96" i="19"/>
  <c r="I96" i="19"/>
  <c r="AA130" i="19"/>
  <c r="I130" i="19"/>
  <c r="U130" i="19"/>
  <c r="O130" i="19"/>
  <c r="U158" i="19"/>
  <c r="O158" i="19"/>
  <c r="AA158" i="19"/>
  <c r="I158" i="19"/>
  <c r="O98" i="19"/>
  <c r="I98" i="19"/>
  <c r="U98" i="19"/>
  <c r="AA98" i="19"/>
  <c r="AA170" i="19"/>
  <c r="U170" i="19"/>
  <c r="I170" i="19"/>
  <c r="O170" i="19"/>
  <c r="I212" i="19"/>
  <c r="J213" i="19" s="1"/>
  <c r="O212" i="19"/>
  <c r="AA212" i="19"/>
  <c r="U212" i="19"/>
  <c r="U157" i="19"/>
  <c r="I157" i="19"/>
  <c r="AA157" i="19"/>
  <c r="O157" i="19"/>
  <c r="O169" i="19"/>
  <c r="I169" i="19"/>
  <c r="AA169" i="19"/>
  <c r="U169" i="19"/>
  <c r="I236" i="19"/>
  <c r="U236" i="19"/>
  <c r="O236" i="19"/>
  <c r="AA236" i="19"/>
  <c r="U166" i="19"/>
  <c r="O166" i="19"/>
  <c r="I166" i="19"/>
  <c r="AA166" i="19"/>
  <c r="AA156" i="19"/>
  <c r="I156" i="19"/>
  <c r="O156" i="19"/>
  <c r="U156" i="19"/>
  <c r="AA129" i="19"/>
  <c r="I129" i="19"/>
  <c r="U129" i="19"/>
  <c r="O129" i="19"/>
  <c r="F137" i="19"/>
  <c r="E708" i="2" l="1"/>
  <c r="E720" i="2"/>
  <c r="I723" i="2" s="1"/>
  <c r="E700" i="2"/>
  <c r="I700" i="2" s="1"/>
  <c r="I709" i="2"/>
  <c r="I137" i="19"/>
  <c r="J141" i="19" s="1"/>
  <c r="O137" i="19"/>
  <c r="AA137" i="19"/>
  <c r="U137" i="19"/>
  <c r="J206" i="19"/>
  <c r="J131" i="19"/>
  <c r="J171" i="19"/>
  <c r="J108" i="19"/>
  <c r="F225" i="19"/>
  <c r="AA225" i="19" l="1"/>
  <c r="U225" i="19"/>
  <c r="O225" i="19"/>
  <c r="I225" i="19"/>
  <c r="E699" i="2"/>
  <c r="I699" i="2" s="1"/>
  <c r="I702" i="2" s="1"/>
  <c r="I708" i="2"/>
  <c r="I711" i="2" s="1"/>
  <c r="F222" i="19"/>
  <c r="F223" i="19"/>
  <c r="U223" i="19" l="1"/>
  <c r="AA223" i="19"/>
  <c r="O223" i="19"/>
  <c r="I223" i="19"/>
  <c r="I222" i="19"/>
  <c r="U222" i="19"/>
  <c r="AA222" i="19"/>
  <c r="O222" i="19"/>
  <c r="O246" i="19" l="1"/>
  <c r="P70" i="19" s="1"/>
  <c r="U246" i="19"/>
  <c r="V178" i="19" s="1"/>
  <c r="AA246" i="19"/>
  <c r="AB137" i="19" s="1"/>
  <c r="J237" i="19"/>
  <c r="J246" i="19" s="1"/>
  <c r="J248" i="19" s="1"/>
  <c r="J250" i="19" s="1"/>
  <c r="I246" i="19"/>
  <c r="I248" i="19" s="1"/>
  <c r="I250" i="19" s="1"/>
  <c r="V75" i="19" l="1"/>
  <c r="V105" i="19"/>
  <c r="V207" i="19"/>
  <c r="P145" i="19"/>
  <c r="P100" i="19"/>
  <c r="P201" i="19"/>
  <c r="P177" i="19"/>
  <c r="P223" i="19"/>
  <c r="P192" i="19"/>
  <c r="V166" i="19"/>
  <c r="P234" i="19"/>
  <c r="V109" i="19"/>
  <c r="P132" i="19"/>
  <c r="V115" i="19"/>
  <c r="V240" i="19"/>
  <c r="V58" i="19"/>
  <c r="P98" i="19"/>
  <c r="P156" i="19"/>
  <c r="P118" i="19"/>
  <c r="P81" i="19"/>
  <c r="V217" i="19"/>
  <c r="V153" i="19"/>
  <c r="V183" i="19"/>
  <c r="P181" i="19"/>
  <c r="P32" i="19"/>
  <c r="P183" i="19"/>
  <c r="P211" i="19"/>
  <c r="P116" i="19"/>
  <c r="P196" i="19"/>
  <c r="P22" i="19"/>
  <c r="P220" i="19"/>
  <c r="V69" i="19"/>
  <c r="V133" i="19"/>
  <c r="V197" i="19"/>
  <c r="V15" i="19"/>
  <c r="V232" i="19"/>
  <c r="V78" i="19"/>
  <c r="V134" i="19"/>
  <c r="V41" i="19"/>
  <c r="P93" i="19"/>
  <c r="P160" i="19"/>
  <c r="P162" i="19"/>
  <c r="P76" i="19"/>
  <c r="V205" i="19"/>
  <c r="V55" i="19"/>
  <c r="V149" i="19"/>
  <c r="P112" i="19"/>
  <c r="V12" i="19"/>
  <c r="V231" i="19"/>
  <c r="V135" i="19"/>
  <c r="P108" i="19"/>
  <c r="P210" i="19"/>
  <c r="P206" i="19"/>
  <c r="P119" i="19"/>
  <c r="V191" i="19"/>
  <c r="P146" i="19"/>
  <c r="V119" i="19"/>
  <c r="V100" i="19"/>
  <c r="P149" i="19"/>
  <c r="P33" i="19"/>
  <c r="P152" i="19"/>
  <c r="V97" i="19"/>
  <c r="V50" i="19"/>
  <c r="P186" i="19"/>
  <c r="V56" i="19"/>
  <c r="V195" i="19"/>
  <c r="P63" i="19"/>
  <c r="V72" i="19"/>
  <c r="V112" i="19"/>
  <c r="V117" i="19"/>
  <c r="P111" i="19"/>
  <c r="P31" i="19"/>
  <c r="P163" i="19"/>
  <c r="P64" i="19"/>
  <c r="V31" i="19"/>
  <c r="P167" i="19"/>
  <c r="V212" i="19"/>
  <c r="V114" i="19"/>
  <c r="V208" i="19"/>
  <c r="P120" i="19"/>
  <c r="P109" i="19"/>
  <c r="V128" i="19"/>
  <c r="P71" i="19"/>
  <c r="P173" i="19"/>
  <c r="P24" i="19"/>
  <c r="V165" i="19"/>
  <c r="P123" i="19"/>
  <c r="V61" i="19"/>
  <c r="P197" i="19"/>
  <c r="P228" i="19"/>
  <c r="P44" i="19"/>
  <c r="V35" i="19"/>
  <c r="V181" i="19"/>
  <c r="V204" i="19"/>
  <c r="P20" i="19"/>
  <c r="P13" i="19"/>
  <c r="P115" i="19"/>
  <c r="P38" i="19"/>
  <c r="V87" i="19"/>
  <c r="P66" i="19"/>
  <c r="P54" i="19"/>
  <c r="P27" i="19"/>
  <c r="V132" i="19"/>
  <c r="P104" i="19"/>
  <c r="V221" i="19"/>
  <c r="P158" i="19"/>
  <c r="V169" i="19"/>
  <c r="V127" i="19"/>
  <c r="V66" i="19"/>
  <c r="P134" i="19"/>
  <c r="P106" i="19"/>
  <c r="P240" i="19"/>
  <c r="P126" i="19"/>
  <c r="V151" i="19"/>
  <c r="V143" i="19"/>
  <c r="V162" i="19"/>
  <c r="V198" i="19"/>
  <c r="P117" i="19"/>
  <c r="P124" i="19"/>
  <c r="P174" i="19"/>
  <c r="P18" i="19"/>
  <c r="P121" i="19"/>
  <c r="P69" i="19"/>
  <c r="V40" i="19"/>
  <c r="V123" i="19"/>
  <c r="V99" i="19"/>
  <c r="V155" i="19"/>
  <c r="P214" i="19"/>
  <c r="P83" i="19"/>
  <c r="P80" i="19"/>
  <c r="P129" i="19"/>
  <c r="P198" i="19"/>
  <c r="P74" i="19"/>
  <c r="V95" i="19"/>
  <c r="V244" i="19"/>
  <c r="V236" i="19"/>
  <c r="V213" i="19"/>
  <c r="P172" i="19"/>
  <c r="P30" i="19"/>
  <c r="P131" i="19"/>
  <c r="P188" i="19"/>
  <c r="P61" i="19"/>
  <c r="P202" i="19"/>
  <c r="V23" i="19"/>
  <c r="V186" i="19"/>
  <c r="V80" i="19"/>
  <c r="V116" i="19"/>
  <c r="P141" i="19"/>
  <c r="P175" i="19"/>
  <c r="P14" i="19"/>
  <c r="P242" i="19"/>
  <c r="P10" i="19"/>
  <c r="V202" i="19"/>
  <c r="V94" i="19"/>
  <c r="V43" i="19"/>
  <c r="V60" i="19"/>
  <c r="V86" i="19"/>
  <c r="V140" i="19"/>
  <c r="V190" i="19"/>
  <c r="V176" i="19"/>
  <c r="V107" i="19"/>
  <c r="V218" i="19"/>
  <c r="V189" i="19"/>
  <c r="P58" i="19"/>
  <c r="P82" i="19"/>
  <c r="P114" i="19"/>
  <c r="P195" i="19"/>
  <c r="P135" i="19"/>
  <c r="P48" i="19"/>
  <c r="V163" i="19"/>
  <c r="V83" i="19"/>
  <c r="V175" i="19"/>
  <c r="V64" i="19"/>
  <c r="V93" i="19"/>
  <c r="V47" i="19"/>
  <c r="V71" i="19"/>
  <c r="V216" i="19"/>
  <c r="V22" i="19"/>
  <c r="V90" i="19"/>
  <c r="V84" i="19"/>
  <c r="V234" i="19"/>
  <c r="V103" i="19"/>
  <c r="V110" i="19"/>
  <c r="V245" i="19"/>
  <c r="V121" i="19"/>
  <c r="V113" i="19"/>
  <c r="V241" i="19"/>
  <c r="V70" i="19"/>
  <c r="V145" i="19"/>
  <c r="V129" i="19"/>
  <c r="P56" i="19"/>
  <c r="P26" i="19"/>
  <c r="P57" i="19"/>
  <c r="P73" i="19"/>
  <c r="P79" i="19"/>
  <c r="P34" i="19"/>
  <c r="P144" i="19"/>
  <c r="P49" i="19"/>
  <c r="P46" i="19"/>
  <c r="V126" i="19"/>
  <c r="V17" i="19"/>
  <c r="V164" i="19"/>
  <c r="V104" i="19"/>
  <c r="V67" i="19"/>
  <c r="P232" i="19"/>
  <c r="P217" i="19"/>
  <c r="P84" i="19"/>
  <c r="P55" i="19"/>
  <c r="P65" i="19"/>
  <c r="V159" i="19"/>
  <c r="P151" i="19"/>
  <c r="P239" i="19"/>
  <c r="P128" i="19"/>
  <c r="P185" i="19"/>
  <c r="P148" i="19"/>
  <c r="P224" i="19"/>
  <c r="P230" i="19"/>
  <c r="P40" i="19"/>
  <c r="P209" i="19"/>
  <c r="P203" i="19"/>
  <c r="P244" i="19"/>
  <c r="P36" i="19"/>
  <c r="P208" i="19"/>
  <c r="P110" i="19"/>
  <c r="P39" i="19"/>
  <c r="P95" i="19"/>
  <c r="V142" i="19"/>
  <c r="V180" i="19"/>
  <c r="V52" i="19"/>
  <c r="V32" i="19"/>
  <c r="V30" i="19"/>
  <c r="V138" i="19"/>
  <c r="V215" i="19"/>
  <c r="V98" i="19"/>
  <c r="V154" i="19"/>
  <c r="V46" i="19"/>
  <c r="V150" i="19"/>
  <c r="V48" i="19"/>
  <c r="V111" i="19"/>
  <c r="V39" i="19"/>
  <c r="V65" i="19"/>
  <c r="V201" i="19"/>
  <c r="V223" i="19"/>
  <c r="V220" i="19"/>
  <c r="V118" i="19"/>
  <c r="V125" i="19"/>
  <c r="V101" i="19"/>
  <c r="V62" i="19"/>
  <c r="V38" i="19"/>
  <c r="V229" i="19"/>
  <c r="V91" i="19"/>
  <c r="V79" i="19"/>
  <c r="P189" i="19"/>
  <c r="P150" i="19"/>
  <c r="P19" i="19"/>
  <c r="P182" i="19"/>
  <c r="P166" i="19"/>
  <c r="P102" i="19"/>
  <c r="P91" i="19"/>
  <c r="P43" i="19"/>
  <c r="P143" i="19"/>
  <c r="V16" i="19"/>
  <c r="V131" i="19"/>
  <c r="V51" i="19"/>
  <c r="V167" i="19"/>
  <c r="V44" i="19"/>
  <c r="V73" i="19"/>
  <c r="V130" i="19"/>
  <c r="V27" i="19"/>
  <c r="V152" i="19"/>
  <c r="V96" i="19"/>
  <c r="P178" i="19"/>
  <c r="P213" i="19"/>
  <c r="P191" i="19"/>
  <c r="P60" i="19"/>
  <c r="P51" i="19"/>
  <c r="P62" i="19"/>
  <c r="P87" i="19"/>
  <c r="P176" i="19"/>
  <c r="P53" i="19"/>
  <c r="V89" i="19"/>
  <c r="V36" i="19"/>
  <c r="V74" i="19"/>
  <c r="V237" i="19"/>
  <c r="V141" i="19"/>
  <c r="V225" i="19"/>
  <c r="V187" i="19"/>
  <c r="V158" i="19"/>
  <c r="V182" i="19"/>
  <c r="V26" i="19"/>
  <c r="P142" i="19"/>
  <c r="P140" i="19"/>
  <c r="P127" i="19"/>
  <c r="P215" i="19"/>
  <c r="P180" i="19"/>
  <c r="V170" i="19"/>
  <c r="V136" i="19"/>
  <c r="P164" i="19"/>
  <c r="P190" i="19"/>
  <c r="V77" i="19"/>
  <c r="V185" i="19"/>
  <c r="V10" i="19"/>
  <c r="V219" i="19"/>
  <c r="P15" i="19"/>
  <c r="P90" i="19"/>
  <c r="V21" i="19"/>
  <c r="V148" i="19"/>
  <c r="V53" i="19"/>
  <c r="V233" i="19"/>
  <c r="V45" i="19"/>
  <c r="V242" i="19"/>
  <c r="V224" i="19"/>
  <c r="V68" i="19"/>
  <c r="V29" i="19"/>
  <c r="V243" i="19"/>
  <c r="V18" i="19"/>
  <c r="V57" i="19"/>
  <c r="V235" i="19"/>
  <c r="V102" i="19"/>
  <c r="V24" i="19"/>
  <c r="P35" i="19"/>
  <c r="P125" i="19"/>
  <c r="P216" i="19"/>
  <c r="P75" i="19"/>
  <c r="P12" i="19"/>
  <c r="P222" i="19"/>
  <c r="P235" i="19"/>
  <c r="P68" i="19"/>
  <c r="P97" i="19"/>
  <c r="P238" i="19"/>
  <c r="P199" i="19"/>
  <c r="P88" i="19"/>
  <c r="P85" i="19"/>
  <c r="P41" i="19"/>
  <c r="P233" i="19"/>
  <c r="V25" i="19"/>
  <c r="V238" i="19"/>
  <c r="V108" i="19"/>
  <c r="V92" i="19"/>
  <c r="V184" i="19"/>
  <c r="V160" i="19"/>
  <c r="V33" i="19"/>
  <c r="V63" i="19"/>
  <c r="V139" i="19"/>
  <c r="P77" i="19"/>
  <c r="P218" i="19"/>
  <c r="P231" i="19"/>
  <c r="P153" i="19"/>
  <c r="P187" i="19"/>
  <c r="P113" i="19"/>
  <c r="P147" i="19"/>
  <c r="P184" i="19"/>
  <c r="P17" i="19"/>
  <c r="P47" i="19"/>
  <c r="P29" i="19"/>
  <c r="P130" i="19"/>
  <c r="P89" i="19"/>
  <c r="P133" i="19"/>
  <c r="P105" i="19"/>
  <c r="P136" i="19"/>
  <c r="P155" i="19"/>
  <c r="P37" i="19"/>
  <c r="P170" i="19"/>
  <c r="P50" i="19"/>
  <c r="P225" i="19"/>
  <c r="P138" i="19"/>
  <c r="P179" i="19"/>
  <c r="P122" i="19"/>
  <c r="P67" i="19"/>
  <c r="P169" i="19"/>
  <c r="P227" i="19"/>
  <c r="V200" i="19"/>
  <c r="V196" i="19"/>
  <c r="V211" i="19"/>
  <c r="V20" i="19"/>
  <c r="V85" i="19"/>
  <c r="V106" i="19"/>
  <c r="V122" i="19"/>
  <c r="V227" i="19"/>
  <c r="V82" i="19"/>
  <c r="V210" i="19"/>
  <c r="V192" i="19"/>
  <c r="V147" i="19"/>
  <c r="V171" i="19"/>
  <c r="V161" i="19"/>
  <c r="V144" i="19"/>
  <c r="V88" i="19"/>
  <c r="V156" i="19"/>
  <c r="V206" i="19"/>
  <c r="V37" i="19"/>
  <c r="P101" i="19"/>
  <c r="V13" i="19"/>
  <c r="V146" i="19"/>
  <c r="V239" i="19"/>
  <c r="V214" i="19"/>
  <c r="V209" i="19"/>
  <c r="V76" i="19"/>
  <c r="V124" i="19"/>
  <c r="V173" i="19"/>
  <c r="V11" i="19"/>
  <c r="V230" i="19"/>
  <c r="V157" i="19"/>
  <c r="V54" i="19"/>
  <c r="V222" i="19"/>
  <c r="V168" i="19"/>
  <c r="P207" i="19"/>
  <c r="P194" i="19"/>
  <c r="P205" i="19"/>
  <c r="P137" i="19"/>
  <c r="P237" i="19"/>
  <c r="P94" i="19"/>
  <c r="P159" i="19"/>
  <c r="P25" i="19"/>
  <c r="P28" i="19"/>
  <c r="P200" i="19"/>
  <c r="P16" i="19"/>
  <c r="P243" i="19"/>
  <c r="P171" i="19"/>
  <c r="P99" i="19"/>
  <c r="P92" i="19"/>
  <c r="V174" i="19"/>
  <c r="V226" i="19"/>
  <c r="V228" i="19"/>
  <c r="V120" i="19"/>
  <c r="V19" i="19"/>
  <c r="V42" i="19"/>
  <c r="V179" i="19"/>
  <c r="P107" i="19"/>
  <c r="P157" i="19"/>
  <c r="P42" i="19"/>
  <c r="P23" i="19"/>
  <c r="P204" i="19"/>
  <c r="P161" i="19"/>
  <c r="P52" i="19"/>
  <c r="P59" i="19"/>
  <c r="P168" i="19"/>
  <c r="P96" i="19"/>
  <c r="P139" i="19"/>
  <c r="P236" i="19"/>
  <c r="P229" i="19"/>
  <c r="P154" i="19"/>
  <c r="P193" i="19"/>
  <c r="V172" i="19"/>
  <c r="V81" i="19"/>
  <c r="V177" i="19"/>
  <c r="V34" i="19"/>
  <c r="V49" i="19"/>
  <c r="V194" i="19"/>
  <c r="V188" i="19"/>
  <c r="V193" i="19"/>
  <c r="V28" i="19"/>
  <c r="V199" i="19"/>
  <c r="V203" i="19"/>
  <c r="V59" i="19"/>
  <c r="V14" i="19"/>
  <c r="V137" i="19"/>
  <c r="P226" i="19"/>
  <c r="P103" i="19"/>
  <c r="P219" i="19"/>
  <c r="P11" i="19"/>
  <c r="P221" i="19"/>
  <c r="P72" i="19"/>
  <c r="P86" i="19"/>
  <c r="P245" i="19"/>
  <c r="P45" i="19"/>
  <c r="P78" i="19"/>
  <c r="P212" i="19"/>
  <c r="P21" i="19"/>
  <c r="P241" i="19"/>
  <c r="P165" i="19"/>
  <c r="AB141" i="19"/>
  <c r="AB130" i="19"/>
  <c r="AB242" i="19"/>
  <c r="AB224" i="19"/>
  <c r="AB26" i="19"/>
  <c r="AB103" i="19"/>
  <c r="AB104" i="19"/>
  <c r="AB236" i="19"/>
  <c r="AB43" i="19"/>
  <c r="AB156" i="19"/>
  <c r="AB195" i="19"/>
  <c r="AB234" i="19"/>
  <c r="AB238" i="19"/>
  <c r="AB176" i="19"/>
  <c r="AB207" i="19"/>
  <c r="AB15" i="19"/>
  <c r="AB115" i="19"/>
  <c r="AB110" i="19"/>
  <c r="AB153" i="19"/>
  <c r="AB105" i="19"/>
  <c r="AB34" i="19"/>
  <c r="AB173" i="19"/>
  <c r="AB59" i="19"/>
  <c r="AB225" i="19"/>
  <c r="AB81" i="19"/>
  <c r="AB28" i="19"/>
  <c r="AB223" i="19"/>
  <c r="AB151" i="19"/>
  <c r="AB21" i="19"/>
  <c r="AB210" i="19"/>
  <c r="AB139" i="19"/>
  <c r="AB40" i="19"/>
  <c r="AB36" i="19"/>
  <c r="AB83" i="19"/>
  <c r="AB217" i="19"/>
  <c r="AB243" i="19"/>
  <c r="AB227" i="19"/>
  <c r="AB188" i="19"/>
  <c r="AB80" i="19"/>
  <c r="AB125" i="19"/>
  <c r="AB79" i="19"/>
  <c r="AB69" i="19"/>
  <c r="AB57" i="19"/>
  <c r="AB18" i="19"/>
  <c r="AB169" i="19"/>
  <c r="AB182" i="19"/>
  <c r="AB91" i="19"/>
  <c r="AB42" i="19"/>
  <c r="AB112" i="19"/>
  <c r="AB109" i="19"/>
  <c r="AB24" i="19"/>
  <c r="AB211" i="19"/>
  <c r="AB61" i="19"/>
  <c r="AB213" i="19"/>
  <c r="AB226" i="19"/>
  <c r="AB214" i="19"/>
  <c r="AB66" i="19"/>
  <c r="AB86" i="19"/>
  <c r="AB108" i="19"/>
  <c r="AB64" i="19"/>
  <c r="AB72" i="19"/>
  <c r="AB114" i="19"/>
  <c r="AB11" i="19"/>
  <c r="AB98" i="19"/>
  <c r="AB25" i="19"/>
  <c r="AB128" i="19"/>
  <c r="AB63" i="19"/>
  <c r="AB180" i="19"/>
  <c r="AB50" i="19"/>
  <c r="AB166" i="19"/>
  <c r="AB143" i="19"/>
  <c r="AB160" i="19"/>
  <c r="AB93" i="19"/>
  <c r="AB127" i="19"/>
  <c r="AB65" i="19"/>
  <c r="AB87" i="19"/>
  <c r="AB216" i="19"/>
  <c r="AB37" i="19"/>
  <c r="AB13" i="19"/>
  <c r="AB209" i="19"/>
  <c r="AB219" i="19"/>
  <c r="AB101" i="19"/>
  <c r="AB62" i="19"/>
  <c r="AB171" i="19"/>
  <c r="AB189" i="19"/>
  <c r="AB16" i="19"/>
  <c r="AB145" i="19"/>
  <c r="AB233" i="19"/>
  <c r="AB206" i="19"/>
  <c r="AB97" i="19"/>
  <c r="AB167" i="19"/>
  <c r="AB41" i="19"/>
  <c r="AB192" i="19"/>
  <c r="AB235" i="19"/>
  <c r="AB12" i="19"/>
  <c r="AB131" i="19"/>
  <c r="AB138" i="19"/>
  <c r="AB199" i="19"/>
  <c r="AB179" i="19"/>
  <c r="AB117" i="19"/>
  <c r="AB77" i="19"/>
  <c r="AB133" i="19"/>
  <c r="AB73" i="19"/>
  <c r="AB205" i="19"/>
  <c r="AB82" i="19"/>
  <c r="AB27" i="19"/>
  <c r="AB149" i="19"/>
  <c r="AB119" i="19"/>
  <c r="AB240" i="19"/>
  <c r="AB186" i="19"/>
  <c r="AB196" i="19"/>
  <c r="AB147" i="19"/>
  <c r="AB102" i="19"/>
  <c r="AB162" i="19"/>
  <c r="AB201" i="19"/>
  <c r="AB71" i="19"/>
  <c r="AB208" i="19"/>
  <c r="AB123" i="19"/>
  <c r="AB221" i="19"/>
  <c r="AB106" i="19"/>
  <c r="AB244" i="19"/>
  <c r="AB90" i="19"/>
  <c r="AB31" i="19"/>
  <c r="AB56" i="19"/>
  <c r="AB107" i="19"/>
  <c r="AB155" i="19"/>
  <c r="AB200" i="19"/>
  <c r="AB54" i="19"/>
  <c r="AB129" i="19"/>
  <c r="AB222" i="19"/>
  <c r="AB96" i="19"/>
  <c r="AB230" i="19"/>
  <c r="AB14" i="19"/>
  <c r="AB148" i="19"/>
  <c r="AB74" i="19"/>
  <c r="AB55" i="19"/>
  <c r="AB212" i="19"/>
  <c r="AB187" i="19"/>
  <c r="AB181" i="19"/>
  <c r="AB232" i="19"/>
  <c r="AB49" i="19"/>
  <c r="AB78" i="19"/>
  <c r="AB10" i="19"/>
  <c r="AB60" i="19"/>
  <c r="AB161" i="19"/>
  <c r="AB150" i="19"/>
  <c r="AB67" i="19"/>
  <c r="AB168" i="19"/>
  <c r="AB158" i="19"/>
  <c r="AB183" i="19"/>
  <c r="AB193" i="19"/>
  <c r="AB239" i="19"/>
  <c r="AB44" i="19"/>
  <c r="AB85" i="19"/>
  <c r="AB135" i="19"/>
  <c r="AB228" i="19"/>
  <c r="AB159" i="19"/>
  <c r="AB70" i="19"/>
  <c r="AB157" i="19"/>
  <c r="AB229" i="19"/>
  <c r="AB17" i="19"/>
  <c r="AB245" i="19"/>
  <c r="AB75" i="19"/>
  <c r="AB47" i="19"/>
  <c r="AB175" i="19"/>
  <c r="AB154" i="19"/>
  <c r="AB111" i="19"/>
  <c r="AB142" i="19"/>
  <c r="AB178" i="19"/>
  <c r="AB202" i="19"/>
  <c r="AB19" i="19"/>
  <c r="AB120" i="19"/>
  <c r="AB184" i="19"/>
  <c r="AB99" i="19"/>
  <c r="AB68" i="19"/>
  <c r="AB204" i="19"/>
  <c r="AB220" i="19"/>
  <c r="AB231" i="19"/>
  <c r="AB20" i="19"/>
  <c r="AB118" i="19"/>
  <c r="AB33" i="19"/>
  <c r="AB165" i="19"/>
  <c r="AB241" i="19"/>
  <c r="AB22" i="19"/>
  <c r="AB23" i="19"/>
  <c r="AB126" i="19"/>
  <c r="AB35" i="19"/>
  <c r="AB194" i="19"/>
  <c r="AB89" i="19"/>
  <c r="AB132" i="19"/>
  <c r="AB52" i="19"/>
  <c r="AB39" i="19"/>
  <c r="AB94" i="19"/>
  <c r="AB113" i="19"/>
  <c r="AB164" i="19"/>
  <c r="AB95" i="19"/>
  <c r="AB203" i="19"/>
  <c r="AB121" i="19"/>
  <c r="AB124" i="19"/>
  <c r="AB29" i="19"/>
  <c r="AB185" i="19"/>
  <c r="AB140" i="19"/>
  <c r="AB48" i="19"/>
  <c r="AB32" i="19"/>
  <c r="AB172" i="19"/>
  <c r="AB174" i="19"/>
  <c r="AB84" i="19"/>
  <c r="AB76" i="19"/>
  <c r="AB46" i="19"/>
  <c r="AB152" i="19"/>
  <c r="AB191" i="19"/>
  <c r="AB146" i="19"/>
  <c r="AB237" i="19"/>
  <c r="AB51" i="19"/>
  <c r="AB58" i="19"/>
  <c r="AB45" i="19"/>
  <c r="AB197" i="19"/>
  <c r="AB177" i="19"/>
  <c r="AB163" i="19"/>
  <c r="AB136" i="19"/>
  <c r="AB92" i="19"/>
  <c r="AB88" i="19"/>
  <c r="AB190" i="19"/>
  <c r="AB218" i="19"/>
  <c r="AB100" i="19"/>
  <c r="AB170" i="19"/>
  <c r="AB215" i="19"/>
  <c r="AB30" i="19"/>
  <c r="AB134" i="19"/>
  <c r="AB53" i="19"/>
  <c r="AB198" i="19"/>
  <c r="AB38" i="19"/>
  <c r="AB144" i="19"/>
  <c r="AB116" i="19"/>
  <c r="AB122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00000000-0006-0000-0000-000001000000}">
      <text>
        <r>
          <rPr>
            <sz val="8"/>
            <color indexed="81"/>
            <rFont val="Tahoma"/>
            <family val="2"/>
          </rPr>
          <t>DM_4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 satisfied Microsoft Office user</author>
  </authors>
  <commentList>
    <comment ref="A1" authorId="0" shapeId="0" xr:uid="{D70B6CDD-C680-4051-8CAE-9B0781D83578}">
      <text>
        <r>
          <rPr>
            <sz val="8"/>
            <color indexed="81"/>
            <rFont val="Tahoma"/>
            <family val="2"/>
          </rPr>
          <t>SM_4</t>
        </r>
      </text>
    </comment>
    <comment ref="A2" authorId="0" shapeId="0" xr:uid="{75C1E899-C6E2-4F09-94E4-51CDB0E950C4}">
      <text>
        <r>
          <rPr>
            <sz val="8"/>
            <color indexed="81"/>
            <rFont val="Tahoma"/>
            <family val="2"/>
          </rPr>
          <t>SM_4</t>
        </r>
      </text>
    </comment>
  </commentList>
</comments>
</file>

<file path=xl/sharedStrings.xml><?xml version="1.0" encoding="utf-8"?>
<sst xmlns="http://schemas.openxmlformats.org/spreadsheetml/2006/main" count="795" uniqueCount="455">
  <si>
    <t>lot</t>
  </si>
  <si>
    <t>ontwerp</t>
  </si>
  <si>
    <t>bouwheer</t>
  </si>
  <si>
    <t>dossier</t>
  </si>
  <si>
    <t>00.</t>
  </si>
  <si>
    <t>ALGEMENE BEPALINGEN</t>
  </si>
  <si>
    <t>00.10.</t>
  </si>
  <si>
    <t>projectgegevens</t>
  </si>
  <si>
    <t>00.20.</t>
  </si>
  <si>
    <t>ontwerpteam</t>
  </si>
  <si>
    <t>00.21.</t>
  </si>
  <si>
    <t>ontwerper</t>
  </si>
  <si>
    <t>00.24.</t>
  </si>
  <si>
    <t>ontwerpteam - veiligheidscoördinatie</t>
  </si>
  <si>
    <t>00.25.</t>
  </si>
  <si>
    <t>ontwerpteam – EPB verslaggeving</t>
  </si>
  <si>
    <t>00.30.</t>
  </si>
  <si>
    <t>documenten</t>
  </si>
  <si>
    <t>00.31.</t>
  </si>
  <si>
    <t>documenten - architectuur</t>
  </si>
  <si>
    <t>00.32.</t>
  </si>
  <si>
    <t>documenten - stabiliteit</t>
  </si>
  <si>
    <t>00.33.</t>
  </si>
  <si>
    <t>documenten - technieken</t>
  </si>
  <si>
    <t>00.34.</t>
  </si>
  <si>
    <t>documenten - veiligheidsoördinatie</t>
  </si>
  <si>
    <t>00.35.</t>
  </si>
  <si>
    <t>documenten – EPB verslaggeving</t>
  </si>
  <si>
    <t>01.</t>
  </si>
  <si>
    <t>AANNEMINGSMODALITEITEN</t>
  </si>
  <si>
    <t>01.00.</t>
  </si>
  <si>
    <t>aannemingsmodaliteiten - algemeen</t>
  </si>
  <si>
    <t>01.01.</t>
  </si>
  <si>
    <t xml:space="preserve">aannemingsmodaliteiten – bestek </t>
  </si>
  <si>
    <t>01.02.</t>
  </si>
  <si>
    <t xml:space="preserve">aannemingsmodaliteiten – voorafgaand plaatsbezoek </t>
  </si>
  <si>
    <t>01.03.</t>
  </si>
  <si>
    <t xml:space="preserve">aannemingsmodaliteiten – burgerlijke aansprakelijkheid </t>
  </si>
  <si>
    <t>01.04.</t>
  </si>
  <si>
    <t xml:space="preserve">aannemingsmodaliteiten – volledigheid van inschrijving </t>
  </si>
  <si>
    <t>01.05.</t>
  </si>
  <si>
    <t xml:space="preserve">aannemingsmodaliteiten – onderaanneming </t>
  </si>
  <si>
    <t>01.06.</t>
  </si>
  <si>
    <t xml:space="preserve">aannemingsmodaliteiten – verrekeningen </t>
  </si>
  <si>
    <t>01.07.</t>
  </si>
  <si>
    <t xml:space="preserve">aannemingsmodaliteiten – keuringsattesten </t>
  </si>
  <si>
    <t>01.08.</t>
  </si>
  <si>
    <t xml:space="preserve">aannemingsmodaliteiten – materialenlijst </t>
  </si>
  <si>
    <t>01.20.</t>
  </si>
  <si>
    <t>werfcoördinatie – algemeen</t>
  </si>
  <si>
    <t>01.21.</t>
  </si>
  <si>
    <t xml:space="preserve">werfcoördinatie – planning van de werken </t>
  </si>
  <si>
    <t>01.23.</t>
  </si>
  <si>
    <t xml:space="preserve">werfcoördinatie – werfvergaderingen </t>
  </si>
  <si>
    <t>01.25.</t>
  </si>
  <si>
    <t xml:space="preserve">werfcoördinatie – as-builtdossier </t>
  </si>
  <si>
    <t>01.30.</t>
  </si>
  <si>
    <t>werfcondities – algemeen</t>
  </si>
  <si>
    <t>01.31.</t>
  </si>
  <si>
    <t xml:space="preserve">werfcondities – orde en netheid </t>
  </si>
  <si>
    <t>01.32.</t>
  </si>
  <si>
    <t xml:space="preserve">werfcondities – geluids- en stofhinder </t>
  </si>
  <si>
    <t>01.33.</t>
  </si>
  <si>
    <t xml:space="preserve">werfcondities – nazorg </t>
  </si>
  <si>
    <t>01.40.</t>
  </si>
  <si>
    <t xml:space="preserve">veiligheidsvoorschriften – algemeen </t>
  </si>
  <si>
    <t>02.</t>
  </si>
  <si>
    <t>BOUWPLAATSVOORZIENINGEN</t>
  </si>
  <si>
    <t>02.00.</t>
  </si>
  <si>
    <t>bouwplaatsvoorzieningen - algemeen</t>
  </si>
  <si>
    <t>omschrijving</t>
  </si>
  <si>
    <t>aantal</t>
  </si>
  <si>
    <t>totaal</t>
  </si>
  <si>
    <t>stuks</t>
  </si>
  <si>
    <t>Totaal</t>
  </si>
  <si>
    <t>FH</t>
  </si>
  <si>
    <t>st</t>
  </si>
  <si>
    <t>02.80.</t>
  </si>
  <si>
    <t>arbeidsmiddelen – algemeen</t>
  </si>
  <si>
    <t>02.81.</t>
  </si>
  <si>
    <t>arbeidsmiddelen – werken op hoogte</t>
  </si>
  <si>
    <t>04.</t>
  </si>
  <si>
    <t>GEBOUWPRESTATIES</t>
  </si>
  <si>
    <t>04.00.</t>
  </si>
  <si>
    <t>gebouwprestaties - algemeen</t>
  </si>
  <si>
    <t>04.10.</t>
  </si>
  <si>
    <t xml:space="preserve">energieprestatie en binnenklimaat (EPB) – algemeen </t>
  </si>
  <si>
    <t>04.40.</t>
  </si>
  <si>
    <t xml:space="preserve">brandveiligheid - algemeen </t>
  </si>
  <si>
    <t>lengte</t>
  </si>
  <si>
    <t>m</t>
  </si>
  <si>
    <t>PM</t>
  </si>
  <si>
    <t>SOG</t>
  </si>
  <si>
    <t>arbeidsmiddelen – werken op hoogte/ladders</t>
  </si>
  <si>
    <t>02.81.10.</t>
  </si>
  <si>
    <t>Aannemer 1</t>
  </si>
  <si>
    <t>Aannemer 2</t>
  </si>
  <si>
    <t>Aannemer 3</t>
  </si>
  <si>
    <t>volgnr.</t>
  </si>
  <si>
    <t>art.</t>
  </si>
  <si>
    <t>eenheid</t>
  </si>
  <si>
    <t>hoev.</t>
  </si>
  <si>
    <t>hoev. 2</t>
  </si>
  <si>
    <t>eenh.pr.</t>
  </si>
  <si>
    <t>gemiddelde</t>
  </si>
  <si>
    <t>prijs</t>
  </si>
  <si>
    <t>afw. hoev.</t>
  </si>
  <si>
    <t>prijs 2</t>
  </si>
  <si>
    <t>% tov tot.</t>
  </si>
  <si>
    <t>% tov gem.</t>
  </si>
  <si>
    <t>Totaal €</t>
  </si>
  <si>
    <t>BTW</t>
  </si>
  <si>
    <t>Eindtotaal €</t>
  </si>
  <si>
    <t>Hoofdstuk 0</t>
  </si>
  <si>
    <t>Hoofdstuk 1</t>
  </si>
  <si>
    <t>Hoofdstuk 2</t>
  </si>
  <si>
    <t>Hoofdstuk 4</t>
  </si>
  <si>
    <t>WRJ22</t>
  </si>
  <si>
    <t>Waasmunster_Jeugdlokalen</t>
  </si>
  <si>
    <t>Gemeentebestuur Waasmunster</t>
  </si>
  <si>
    <t>Ruwbouw &amp; Onderbouw</t>
  </si>
  <si>
    <t>00.23.</t>
  </si>
  <si>
    <t>ontwerpteam - studie technieken</t>
  </si>
  <si>
    <t>01.22.</t>
  </si>
  <si>
    <t>werfcoördinatie – werfleiding en controle</t>
  </si>
  <si>
    <t>02.10.</t>
  </si>
  <si>
    <t>beschermingswerken – algemeen</t>
  </si>
  <si>
    <t>02.11.</t>
  </si>
  <si>
    <t>beschermingwerken – openbare weg</t>
  </si>
  <si>
    <t>02.40.</t>
  </si>
  <si>
    <t>voorlopige omheining – algemeen</t>
  </si>
  <si>
    <t>02.50.</t>
  </si>
  <si>
    <t>aankondiging werf – algemeen</t>
  </si>
  <si>
    <t>02.52.</t>
  </si>
  <si>
    <t>aankondiging werf - werfdoek</t>
  </si>
  <si>
    <t>02.82.</t>
  </si>
  <si>
    <t>arbeidsmiddelen – hijsen en heffen van lasten</t>
  </si>
  <si>
    <t>03.</t>
  </si>
  <si>
    <t>AFBRAAKWERKEN</t>
  </si>
  <si>
    <t>03.00.</t>
  </si>
  <si>
    <t>afbraakwerken – algemeen</t>
  </si>
  <si>
    <t>03.01.</t>
  </si>
  <si>
    <t>afbraakwerken – asbestverwijdering</t>
  </si>
  <si>
    <t>03.02.</t>
  </si>
  <si>
    <t>afbraakwerken – schoring</t>
  </si>
  <si>
    <t>03.03.</t>
  </si>
  <si>
    <t>afbraakwerken – in gebruik zijnde gebouwen</t>
  </si>
  <si>
    <t>03.10.</t>
  </si>
  <si>
    <t>afbraak volledige constructie – algemeen</t>
  </si>
  <si>
    <t>03.11.</t>
  </si>
  <si>
    <t>afbraak volledige constructie – vrijstaand</t>
  </si>
  <si>
    <t>03.11.20.</t>
  </si>
  <si>
    <t>03.11.40.</t>
  </si>
  <si>
    <t>afbraak volledige constructie – vrijstaand/te behouden gevels</t>
  </si>
  <si>
    <t>03.20.</t>
  </si>
  <si>
    <t>afbraak ruwbouwelementen - algemeen</t>
  </si>
  <si>
    <t>03.21.</t>
  </si>
  <si>
    <t>afbraak ruwbouwelementen – muren</t>
  </si>
  <si>
    <t>03.21.10.</t>
  </si>
  <si>
    <t>afbraak ruwbouwelementen – muren/metselwerk</t>
  </si>
  <si>
    <t>breedte</t>
  </si>
  <si>
    <t>hoogte</t>
  </si>
  <si>
    <t>m3</t>
  </si>
  <si>
    <t>03.21.30.</t>
  </si>
  <si>
    <t>03.22.</t>
  </si>
  <si>
    <t>afbraak ruwbouwelementen – vloeren</t>
  </si>
  <si>
    <t>03.22.20.</t>
  </si>
  <si>
    <t>03.22.22.</t>
  </si>
  <si>
    <t>m2</t>
  </si>
  <si>
    <t>03.22.30.</t>
  </si>
  <si>
    <t>03.40.</t>
  </si>
  <si>
    <t>afbraak gevelelementen – algemeen</t>
  </si>
  <si>
    <t>03.41.</t>
  </si>
  <si>
    <t>03.50.</t>
  </si>
  <si>
    <t>afbraak binnenafwerking - algemeen</t>
  </si>
  <si>
    <t>03.51.</t>
  </si>
  <si>
    <t>afbraak binnenafwerking – volledige ontmanteling</t>
  </si>
  <si>
    <t>03.53.</t>
  </si>
  <si>
    <t>afbraak binnenafwerking - plaatafwerking</t>
  </si>
  <si>
    <t>03.53.10.</t>
  </si>
  <si>
    <t>afbraak binnenafwerking – plaatafwerking/asbestverwijdering vensterbanken</t>
  </si>
  <si>
    <t>03.60.</t>
  </si>
  <si>
    <t>afbraak technieken fluïda - algemeen</t>
  </si>
  <si>
    <t>03.61.</t>
  </si>
  <si>
    <t>afbraak technieken fluïda – leidingen</t>
  </si>
  <si>
    <t>03.61.20.</t>
  </si>
  <si>
    <t>afbraak technieken fluïda – leidingen/toevoer en afvoerleidingen</t>
  </si>
  <si>
    <t>03.70.</t>
  </si>
  <si>
    <t>afbraak technieken elektro - algemeen</t>
  </si>
  <si>
    <t>03.71.</t>
  </si>
  <si>
    <t>afbraak technieken elektro - leidingnet</t>
  </si>
  <si>
    <t>04.20.</t>
  </si>
  <si>
    <t>luchtdichtheid - algemeen</t>
  </si>
  <si>
    <t>04.30.</t>
  </si>
  <si>
    <t>akoestiek - algemeen</t>
  </si>
  <si>
    <t>05.</t>
  </si>
  <si>
    <t>PROEVEN</t>
  </si>
  <si>
    <t>05.00.</t>
  </si>
  <si>
    <t>proeven - algemeen</t>
  </si>
  <si>
    <t>05.10.</t>
  </si>
  <si>
    <t>proeven - luchtdichtheidsmeting</t>
  </si>
  <si>
    <t>05.12.</t>
  </si>
  <si>
    <t>proeven – luchtdichtheidsmeting / gebouw</t>
  </si>
  <si>
    <t>10.</t>
  </si>
  <si>
    <t>GRONDWERKEN</t>
  </si>
  <si>
    <t>10.00.</t>
  </si>
  <si>
    <t>grondwerken - algemeen</t>
  </si>
  <si>
    <t>10.20.</t>
  </si>
  <si>
    <t>uitgraving bouwputten - algemeen</t>
  </si>
  <si>
    <t>10.21.</t>
  </si>
  <si>
    <t>uitgraving bouwputten - gewone bouwputten</t>
  </si>
  <si>
    <t>10.23.</t>
  </si>
  <si>
    <t>uitgraving bouwputten - rioleringselementen</t>
  </si>
  <si>
    <t>10.24.</t>
  </si>
  <si>
    <t>uitgraving bouwputten - afgraven en uitdiepen bestaande vloer</t>
  </si>
  <si>
    <t>10.24.10.</t>
  </si>
  <si>
    <t>10.24.20.</t>
  </si>
  <si>
    <t>15.</t>
  </si>
  <si>
    <t>VLOERLAGEN ONDERBOUW</t>
  </si>
  <si>
    <t>15.00.</t>
  </si>
  <si>
    <t>vloerlagen onderbouw - algemeen</t>
  </si>
  <si>
    <t>15.20.</t>
  </si>
  <si>
    <t>draagvloeren op volle grond - algemeen</t>
  </si>
  <si>
    <t>15.21.</t>
  </si>
  <si>
    <t>15.30.</t>
  </si>
  <si>
    <t>vochtwerende lagen - algemeen</t>
  </si>
  <si>
    <t>15.31.</t>
  </si>
  <si>
    <t>vochtwerende lagen - folies</t>
  </si>
  <si>
    <t>15.31.10.</t>
  </si>
  <si>
    <t>16.</t>
  </si>
  <si>
    <t>THERMISCHE ISOLATIE ONDERBOUW</t>
  </si>
  <si>
    <t>16.00.</t>
  </si>
  <si>
    <t>thermische isolatie onderbouw – algemeen</t>
  </si>
  <si>
    <t>16.30.</t>
  </si>
  <si>
    <t>isolatiekorrels op volle grond - algemeen</t>
  </si>
  <si>
    <t>16.31.</t>
  </si>
  <si>
    <t>17.</t>
  </si>
  <si>
    <t>ONDERGRONDSE LEIDINGEN</t>
  </si>
  <si>
    <t>17.00.</t>
  </si>
  <si>
    <t>ondergrondse leidingen - algemeen</t>
  </si>
  <si>
    <t>17.10.</t>
  </si>
  <si>
    <t>rioolbuizen - algemeen</t>
  </si>
  <si>
    <t>17.12.</t>
  </si>
  <si>
    <t>rioolbuizen – kunststof</t>
  </si>
  <si>
    <t>17.12.30.</t>
  </si>
  <si>
    <t>rioolbuizen – kunststof/PP</t>
  </si>
  <si>
    <t>17.12.31.</t>
  </si>
  <si>
    <t>17.12.32.</t>
  </si>
  <si>
    <t>17.12.34.</t>
  </si>
  <si>
    <t>17.34.</t>
  </si>
  <si>
    <t>toezichtputten - kunststof</t>
  </si>
  <si>
    <t>17.34.10.</t>
  </si>
  <si>
    <t>toezichtputten – kunststof/PVC</t>
  </si>
  <si>
    <t>17.34.12.</t>
  </si>
  <si>
    <t>17.60.</t>
  </si>
  <si>
    <t>afvalwaterbehandeling - algemeen</t>
  </si>
  <si>
    <t>17.61.</t>
  </si>
  <si>
    <t>afvalwaterbehandeling – septische putten 5.000 liter</t>
  </si>
  <si>
    <t>17.70.</t>
  </si>
  <si>
    <t>regenwaterbehandeling - algemeen</t>
  </si>
  <si>
    <t>17.71.</t>
  </si>
  <si>
    <t>regenwaterbehandeling - regenwaterputten</t>
  </si>
  <si>
    <t>17.71.10.</t>
  </si>
  <si>
    <t>regenwaterbehandeling – regenwaterputten/beton 10.000l</t>
  </si>
  <si>
    <t>17.72.</t>
  </si>
  <si>
    <t>regenwaterbehandeling - hergebruik regenwater</t>
  </si>
  <si>
    <t>17.73.</t>
  </si>
  <si>
    <t>regenwaterbehandeling - voorfilters</t>
  </si>
  <si>
    <t>17.74.</t>
  </si>
  <si>
    <t>regenwaterbehandeling - overloop en terugslagklep</t>
  </si>
  <si>
    <t>17.84.</t>
  </si>
  <si>
    <t>aansluitingen – overloop regenwater op wadi</t>
  </si>
  <si>
    <t>20.</t>
  </si>
  <si>
    <t>METSELWERK</t>
  </si>
  <si>
    <t>20.00.</t>
  </si>
  <si>
    <t>metselwerken - algemeen</t>
  </si>
  <si>
    <t>20.01.</t>
  </si>
  <si>
    <t>metselwerken – ter plaatse gemetst</t>
  </si>
  <si>
    <t>20.10.</t>
  </si>
  <si>
    <t>materialen – algemeen</t>
  </si>
  <si>
    <t>20.11.</t>
  </si>
  <si>
    <t>materialen – metselmortel</t>
  </si>
  <si>
    <t>20.11.10.</t>
  </si>
  <si>
    <t>materialen – metselmortel/voor algemene toepassing (G)</t>
  </si>
  <si>
    <t>20.12.</t>
  </si>
  <si>
    <t>materialen – hulpstukken</t>
  </si>
  <si>
    <t>20.12.10.</t>
  </si>
  <si>
    <t>materialen – hulpstukken/spouwankers</t>
  </si>
  <si>
    <t>20.12.12.</t>
  </si>
  <si>
    <t>materialen – hulpstukken/spouwankers – slag- en schroefankers met isolatieplug</t>
  </si>
  <si>
    <t>20.12.20.</t>
  </si>
  <si>
    <t>materialen – hulpstukken/lateien</t>
  </si>
  <si>
    <t>20.12.21.</t>
  </si>
  <si>
    <t>materialen – hulpstukken/lateien – beton</t>
  </si>
  <si>
    <t>20.12.22.</t>
  </si>
  <si>
    <t>materialen – hulpstukken/lateien – staal</t>
  </si>
  <si>
    <t>20.50.</t>
  </si>
  <si>
    <t>niet-dragende binnenmuur – algemeen</t>
  </si>
  <si>
    <t>20.51.</t>
  </si>
  <si>
    <t>niet-dragende binnenmuur – snelbouw</t>
  </si>
  <si>
    <t>20.51.20.</t>
  </si>
  <si>
    <t>22.</t>
  </si>
  <si>
    <t>GEVELMETSELWERK</t>
  </si>
  <si>
    <t>22.00.</t>
  </si>
  <si>
    <t>gevelmetselwerken - algemeen</t>
  </si>
  <si>
    <t>22.01.</t>
  </si>
  <si>
    <t>algemeen – ter plaatse gemetst gevelmetselwerk</t>
  </si>
  <si>
    <t>22.10.</t>
  </si>
  <si>
    <t>22.11.</t>
  </si>
  <si>
    <t>materialen – mortel</t>
  </si>
  <si>
    <t>22.11.10.</t>
  </si>
  <si>
    <t>materialen – mortel/metselmortel</t>
  </si>
  <si>
    <t>22.11.11.</t>
  </si>
  <si>
    <t>materialen – mortel/metselmortel - voor algemene toepassing</t>
  </si>
  <si>
    <t>22.11.20.</t>
  </si>
  <si>
    <t>materialen – mortel/voegmortel</t>
  </si>
  <si>
    <t>22.14.</t>
  </si>
  <si>
    <t>materialen – wapening</t>
  </si>
  <si>
    <t>22.20.</t>
  </si>
  <si>
    <t>gevelstenen – algemeen</t>
  </si>
  <si>
    <t>22.21.</t>
  </si>
  <si>
    <t>gevelstenen – baksteen</t>
  </si>
  <si>
    <t>22.21.10.</t>
  </si>
  <si>
    <t>gevelstenen – baksteen/strengpersstenen</t>
  </si>
  <si>
    <t>22.30.</t>
  </si>
  <si>
    <t>renovatiewerken – algemeen</t>
  </si>
  <si>
    <t>22.31.</t>
  </si>
  <si>
    <t>23</t>
  </si>
  <si>
    <t>DORPELS, PLINTEN EN DEKSTENEN</t>
  </si>
  <si>
    <t>23.00.</t>
  </si>
  <si>
    <t>dorpels, plinten en dekstenen - algemeen</t>
  </si>
  <si>
    <t>23.01.</t>
  </si>
  <si>
    <t>algemeen - blauwe hardsteen</t>
  </si>
  <si>
    <t>23.11.</t>
  </si>
  <si>
    <t>raam- en deurdorpels - blauwe hardsteen</t>
  </si>
  <si>
    <t>26.</t>
  </si>
  <si>
    <t>STRUCTUURELEMENTEN BETON</t>
  </si>
  <si>
    <t>26.00.</t>
  </si>
  <si>
    <t>structuurelementen gewapend beton - algemeen</t>
  </si>
  <si>
    <t>26.01.</t>
  </si>
  <si>
    <t>algemeen – stabiliteitsstudie</t>
  </si>
  <si>
    <t>26.10.</t>
  </si>
  <si>
    <t>materialen - algemeen</t>
  </si>
  <si>
    <t>26.11.</t>
  </si>
  <si>
    <t>26.11.10.</t>
  </si>
  <si>
    <t>materialen – wapening/staven en netten</t>
  </si>
  <si>
    <t>26.11.11.</t>
  </si>
  <si>
    <t>materialen – wapening/staven en netten - staven</t>
  </si>
  <si>
    <t>gewicht</t>
  </si>
  <si>
    <t>kg</t>
  </si>
  <si>
    <t>26.11.12.</t>
  </si>
  <si>
    <t>materialen – wapening/staven en netten - netten</t>
  </si>
  <si>
    <t>26.11.20.</t>
  </si>
  <si>
    <t>materialen – wapening/vezels</t>
  </si>
  <si>
    <t>26.11.21.</t>
  </si>
  <si>
    <t>materialen – wapening/vezels – staalvezels</t>
  </si>
  <si>
    <t>26.12.</t>
  </si>
  <si>
    <t>materialen - beton</t>
  </si>
  <si>
    <t>26.12.10.</t>
  </si>
  <si>
    <t>materialen – beton/stortklaar beton</t>
  </si>
  <si>
    <t>26.12.11.</t>
  </si>
  <si>
    <t>materialen – beton/stortklaar beton - met staaf- en netwapening</t>
  </si>
  <si>
    <t>26.12.12.</t>
  </si>
  <si>
    <t>materialen – beton/stortklaar beton - met vezelwapening</t>
  </si>
  <si>
    <t>26.20.</t>
  </si>
  <si>
    <t>ter plaatse gestorte elementen – algemeen</t>
  </si>
  <si>
    <t>26.23.</t>
  </si>
  <si>
    <t>ter plaatse gestorte elementen – balken/sloffen</t>
  </si>
  <si>
    <t>26.30.</t>
  </si>
  <si>
    <t>prefab elementen – algemeen</t>
  </si>
  <si>
    <t>26.34.</t>
  </si>
  <si>
    <t>prefab elementen – deur- en raamlateien</t>
  </si>
  <si>
    <t>26.36.</t>
  </si>
  <si>
    <t>prefab elementen – draagvloeren</t>
  </si>
  <si>
    <t>26.36.40.</t>
  </si>
  <si>
    <t>prefab elementen – draagvloeren/balken en vulblokken</t>
  </si>
  <si>
    <t>26.36.44.</t>
  </si>
  <si>
    <t>27.</t>
  </si>
  <si>
    <t>STRUCTUURELEMENTEN STAAL</t>
  </si>
  <si>
    <t>27.00.</t>
  </si>
  <si>
    <t>structuurelementen staal – algemeen</t>
  </si>
  <si>
    <t>27.02.</t>
  </si>
  <si>
    <t>27.10.</t>
  </si>
  <si>
    <t>balken – algemeen</t>
  </si>
  <si>
    <t>27.11.</t>
  </si>
  <si>
    <t>balken – blank profielstaal</t>
  </si>
  <si>
    <t>C:\Models\C3Admin\SystemTemplates\mlib_2020.xlsm</t>
  </si>
  <si>
    <t>Nieuw</t>
  </si>
  <si>
    <t>Hoofdstuk 3</t>
  </si>
  <si>
    <t>Hoofdstuk 5</t>
  </si>
  <si>
    <t>Hoofdstuk 10</t>
  </si>
  <si>
    <t>Hoofdstuk 15</t>
  </si>
  <si>
    <t>Hoofdstuk 16</t>
  </si>
  <si>
    <t>Hoofdstuk 17</t>
  </si>
  <si>
    <t>Hoofdstuk 20</t>
  </si>
  <si>
    <t>Hoofdstuk 22</t>
  </si>
  <si>
    <t>Hoofdstuk 23</t>
  </si>
  <si>
    <t>Hoofdstuk 26</t>
  </si>
  <si>
    <t>Hoofdstuk 27</t>
  </si>
  <si>
    <t>gelijkvloers +0</t>
  </si>
  <si>
    <t>refter/berging</t>
  </si>
  <si>
    <t>refter/keuken</t>
  </si>
  <si>
    <t>berging/centrale hal</t>
  </si>
  <si>
    <t>keuken/centrale hal</t>
  </si>
  <si>
    <t>centrale hal/WC</t>
  </si>
  <si>
    <t>toog/leidingslokaal</t>
  </si>
  <si>
    <t>leidingslokaal/material kot</t>
  </si>
  <si>
    <t>eerste verdieping +1</t>
  </si>
  <si>
    <t>techniek</t>
  </si>
  <si>
    <t>vloer refter/keuken/berging</t>
  </si>
  <si>
    <t>WC vloer</t>
  </si>
  <si>
    <t>vloer in andere lokalen gaan er ook uit</t>
  </si>
  <si>
    <t>vooraan buiten tegels</t>
  </si>
  <si>
    <t>vloer eerste verdieping links</t>
  </si>
  <si>
    <t>raam refter</t>
  </si>
  <si>
    <t>raam keuken</t>
  </si>
  <si>
    <t>raam gevel</t>
  </si>
  <si>
    <t>grond onder refter</t>
  </si>
  <si>
    <t>grond onder keuken/berging</t>
  </si>
  <si>
    <t>metselwerk keuken/berging</t>
  </si>
  <si>
    <t>metselwerk WC/toog</t>
  </si>
  <si>
    <t>metselwerk gevel keuken</t>
  </si>
  <si>
    <t>metselwerk techniek/berging</t>
  </si>
  <si>
    <t xml:space="preserve">metselwerk naast gevelramen </t>
  </si>
  <si>
    <t>naast raam keuken</t>
  </si>
  <si>
    <t>naast ramen terras</t>
  </si>
  <si>
    <t>eerte verdieping +1</t>
  </si>
  <si>
    <t>vloer ledenlokaal 2, 3</t>
  </si>
  <si>
    <t>IPE200</t>
  </si>
  <si>
    <t>sloffen voor IPE200</t>
  </si>
  <si>
    <t>vloer 00</t>
  </si>
  <si>
    <t>vloer 01</t>
  </si>
  <si>
    <t>fec</t>
  </si>
  <si>
    <t>dwa</t>
  </si>
  <si>
    <t>rwa</t>
  </si>
  <si>
    <t>afbraak ruwbouwelementen – muren/houtskelet (enkel afvoer, afbraak bouwteam)</t>
  </si>
  <si>
    <t>afbraak ruwbouwelementen – vloeren/tegels in gestabiliseerd zand (enkel afvoer, afbraak bouwteam)</t>
  </si>
  <si>
    <t>afbraak ruwbouwelementen – vloeren/tegels in gestabiliseerd zand– vloer op volle grond  (enkel afvoer, afbraak bouwteam)</t>
  </si>
  <si>
    <t>afbraak ruwbouwelementen – vloeren/houten roostering (enkel afvoer, afbraak bouwteam)</t>
  </si>
  <si>
    <t>afbraak gevelelementen – gevelmetselwerk (enkel afvoer, afbraak bouwteam)</t>
  </si>
  <si>
    <t>uitgraving bouwputten - afgraven &amp; uitdiepen bestaande vloer – 60cm diep (enkel afvoer gronden, werken door bouwteam)</t>
  </si>
  <si>
    <t>uitgraving bouwputten - afgraven &amp; uitdiepen bestaande vloer –30cm diep (enkel afvoer gronden, werken door bouwteam)</t>
  </si>
  <si>
    <t>rioolbuizen – kunststof/PP – diam 110 (enkel levering)</t>
  </si>
  <si>
    <t>rioolbuizen – kunststof/PP – diam 125 (enkel levering)</t>
  </si>
  <si>
    <t>rioolbuizen – kunststof/PP – diam 160 (enkel levering)</t>
  </si>
  <si>
    <t>toezichtputten – kunststof/PVC – 2 x Ø400 met sifon (enkel levering)</t>
  </si>
  <si>
    <t>niet-dragende binnenmuur – snelbouw/dikte 14 cm (meegaand gevoegd)</t>
  </si>
  <si>
    <t>renovatiewerken – herstelling en aanpassing bestaand gevelmetselwerk (incl voegwerk)</t>
  </si>
  <si>
    <t>EP</t>
  </si>
  <si>
    <t>bestaande te behouden</t>
  </si>
  <si>
    <t>afbraak volledige constructie – vrijstaand/slopen gebouw (woning vooraan) APARTE AANBESTEDING</t>
  </si>
  <si>
    <t>prefab elementen – draagvloeren gepolierd/balken en vulblokken – vulblokken geperste houtvezel (plaatsing balken en potten door bouwteam)</t>
  </si>
  <si>
    <t>isolatiekorrels op volle gond – glasschuimgranulaten dikte 25cm (incl geotextiel) plaatsing door bouwteam</t>
  </si>
  <si>
    <t>vochtwerende lagen – folies/PE (plaatsing door bouwteam)</t>
  </si>
  <si>
    <t>draagvloeren op volle grond - stortklaar gewapend beton 15cm / gepolierd (plaatsing netten door bouwteam)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</si>
</sst>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164" formatCode="&quot;€&quot;\ #,##0.00;&quot;€&quot;\ \-#,##0.00"/>
    <numFmt numFmtId="165" formatCode="&quot;€&quot;\ #,##0.00;[Red]&quot;€&quot;\ \-#,##0.00"/>
    <numFmt numFmtId="166" formatCode="0.00_ ;[Red]\-0.00\ "/>
    <numFmt numFmtId="167" formatCode="#,##0.00\ _€;[Red]\-#,##0.00\ _€;\ "/>
    <numFmt numFmtId="168" formatCode="#,##0_._0_0_0;[Red]\-#,##0_._0_0_0"/>
    <numFmt numFmtId="169" formatCode="\x\ 0;\x\ \-0"/>
    <numFmt numFmtId="170" formatCode="#,##0.00_0;[Red]\-#,##0.00_0"/>
    <numFmt numFmtId="171" formatCode="#,##0.000;[Red]\-#,##0.000"/>
    <numFmt numFmtId="172" formatCode="#,##0.00;[Red]\-#,##0.00;&quot;incl.&quot;"/>
    <numFmt numFmtId="173" formatCode="#,##0.0___0;[Red]\-#,##0.00_0"/>
    <numFmt numFmtId="174" formatCode="#,##0.00_0;[Red]\-#,##0.00_00"/>
    <numFmt numFmtId="175" formatCode="#,##0.000"/>
    <numFmt numFmtId="176" formatCode="#,##0.00;[Red]\-#,##0.00;&quot; &quot;"/>
    <numFmt numFmtId="177" formatCode="0_ ;[Red]\-0\ "/>
    <numFmt numFmtId="178" formatCode="0.0%;\-0.0%;&quot; &quot;"/>
    <numFmt numFmtId="179" formatCode="0.0%;\-0.0%"/>
  </numFmts>
  <fonts count="22"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8"/>
      <name val="Helv"/>
    </font>
    <font>
      <sz val="10"/>
      <name val="Prenton RP Pro Light"/>
      <family val="2"/>
    </font>
    <font>
      <sz val="12"/>
      <color indexed="24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b/>
      <sz val="9.75"/>
      <color rgb="FF0000FF"/>
      <name val="Prenton RP Pro Light"/>
      <family val="2"/>
    </font>
    <font>
      <b/>
      <sz val="10"/>
      <name val="Prenton RP Pro Light"/>
      <family val="2"/>
    </font>
    <font>
      <sz val="8"/>
      <name val="Prenton RP Pro Light"/>
      <family val="2"/>
    </font>
    <font>
      <b/>
      <sz val="10"/>
      <color indexed="19"/>
      <name val="Prenton RP Pro Light"/>
      <family val="2"/>
    </font>
  </fonts>
  <fills count="16">
    <fill>
      <patternFill patternType="none"/>
    </fill>
    <fill>
      <patternFill patternType="gray125"/>
    </fill>
    <fill>
      <patternFill patternType="gray125">
        <bgColor indexed="4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38">
    <xf numFmtId="0" fontId="0" fillId="0" borderId="0"/>
    <xf numFmtId="49" fontId="7" fillId="1" borderId="3">
      <alignment horizontal="left"/>
    </xf>
    <xf numFmtId="167" fontId="12" fillId="3" borderId="0" applyFont="0" applyFill="0" applyBorder="0" applyAlignment="0" applyProtection="0"/>
    <xf numFmtId="168" fontId="12" fillId="0" borderId="0" applyFont="0" applyFill="0" applyBorder="0" applyAlignment="0" applyProtection="0"/>
    <xf numFmtId="169" fontId="13" fillId="0" borderId="6" applyFont="0" applyFill="0" applyBorder="0" applyAlignment="0" applyProtection="0"/>
    <xf numFmtId="0" fontId="7" fillId="4" borderId="3" applyNumberFormat="0" applyFill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0" fillId="0" borderId="0"/>
    <xf numFmtId="172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6" fontId="10" fillId="0" borderId="0"/>
    <xf numFmtId="0" fontId="15" fillId="0" borderId="0"/>
    <xf numFmtId="3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6" fillId="0" borderId="0"/>
    <xf numFmtId="168" fontId="10" fillId="0" borderId="0" applyFont="0" applyFill="0" applyBorder="0" applyAlignment="0" applyProtection="0"/>
    <xf numFmtId="169" fontId="13" fillId="0" borderId="6" applyFont="0" applyFill="0" applyBorder="0" applyAlignment="0" applyProtection="0"/>
    <xf numFmtId="0" fontId="7" fillId="1" borderId="3" applyNumberFormat="0" applyProtection="0">
      <alignment horizontal="left"/>
    </xf>
    <xf numFmtId="0" fontId="7" fillId="1" borderId="3" applyNumberFormat="0" applyProtection="0">
      <alignment horizontal="left"/>
    </xf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0" fillId="0" borderId="0"/>
    <xf numFmtId="173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4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5" fontId="13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3" fillId="0" borderId="0"/>
    <xf numFmtId="0" fontId="6" fillId="0" borderId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0" fillId="0" borderId="0"/>
    <xf numFmtId="165" fontId="12" fillId="3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2" fontId="10" fillId="0" borderId="0"/>
    <xf numFmtId="168" fontId="16" fillId="0" borderId="0"/>
    <xf numFmtId="168" fontId="12" fillId="0" borderId="0" applyFont="0" applyFill="0" applyBorder="0" applyAlignment="0" applyProtection="0"/>
    <xf numFmtId="0" fontId="7" fillId="0" borderId="2">
      <alignment horizontal="left"/>
    </xf>
    <xf numFmtId="0" fontId="7" fillId="0" borderId="2">
      <alignment horizontal="left"/>
    </xf>
    <xf numFmtId="0" fontId="7" fillId="0" borderId="2">
      <alignment horizontal="left"/>
    </xf>
    <xf numFmtId="0" fontId="7" fillId="0" borderId="2"/>
    <xf numFmtId="0" fontId="7" fillId="0" borderId="2"/>
    <xf numFmtId="171" fontId="12" fillId="0" borderId="0" applyFont="0" applyFill="0" applyBorder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171" fontId="12" fillId="0" borderId="0" applyFont="0" applyFill="0" applyBorder="0" applyAlignment="0" applyProtection="0"/>
    <xf numFmtId="171" fontId="10" fillId="0" borderId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17" fillId="4" borderId="3" applyNumberFormat="0" applyFill="0" applyAlignment="0" applyProtection="0"/>
    <xf numFmtId="170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6" fillId="0" borderId="0"/>
    <xf numFmtId="166" fontId="10" fillId="0" borderId="0"/>
    <xf numFmtId="44" fontId="10" fillId="0" borderId="0" applyFont="0" applyFill="0" applyBorder="0" applyAlignment="0" applyProtection="0"/>
    <xf numFmtId="0" fontId="6" fillId="0" borderId="0"/>
    <xf numFmtId="0" fontId="6" fillId="0" borderId="0"/>
    <xf numFmtId="166" fontId="10" fillId="0" borderId="0"/>
    <xf numFmtId="164" fontId="10" fillId="0" borderId="0" applyFont="0" applyFill="0" applyBorder="0" applyAlignment="0" applyProtection="0"/>
    <xf numFmtId="0" fontId="6" fillId="0" borderId="0"/>
    <xf numFmtId="165" fontId="12" fillId="3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10" fillId="0" borderId="0"/>
    <xf numFmtId="0" fontId="5" fillId="0" borderId="0"/>
    <xf numFmtId="0" fontId="5" fillId="0" borderId="0"/>
    <xf numFmtId="44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44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4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9" fillId="0" borderId="3"/>
    <xf numFmtId="170" fontId="9" fillId="0" borderId="3"/>
    <xf numFmtId="171" fontId="9" fillId="0" borderId="3"/>
    <xf numFmtId="0" fontId="16" fillId="0" borderId="0"/>
    <xf numFmtId="166" fontId="10" fillId="0" borderId="0"/>
    <xf numFmtId="166" fontId="10" fillId="0" borderId="0"/>
    <xf numFmtId="49" fontId="9" fillId="14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1"/>
    <xf numFmtId="0" fontId="9" fillId="0" borderId="1"/>
    <xf numFmtId="0" fontId="9" fillId="0" borderId="1"/>
    <xf numFmtId="0" fontId="9" fillId="0" borderId="8"/>
    <xf numFmtId="0" fontId="9" fillId="0" borderId="3"/>
    <xf numFmtId="0" fontId="9" fillId="0" borderId="3"/>
    <xf numFmtId="0" fontId="9" fillId="0" borderId="3"/>
    <xf numFmtId="0" fontId="9" fillId="0" borderId="10"/>
    <xf numFmtId="0" fontId="10" fillId="0" borderId="2"/>
    <xf numFmtId="0" fontId="10" fillId="0" borderId="2"/>
    <xf numFmtId="0" fontId="10" fillId="0" borderId="2"/>
    <xf numFmtId="0" fontId="10" fillId="0" borderId="2"/>
    <xf numFmtId="0" fontId="10" fillId="0" borderId="2"/>
    <xf numFmtId="0" fontId="10" fillId="0" borderId="2"/>
    <xf numFmtId="0" fontId="10" fillId="0" borderId="2"/>
    <xf numFmtId="0" fontId="10" fillId="0" borderId="2"/>
    <xf numFmtId="0" fontId="10" fillId="0" borderId="2"/>
    <xf numFmtId="0" fontId="10" fillId="0" borderId="0"/>
    <xf numFmtId="0" fontId="10" fillId="0" borderId="0"/>
    <xf numFmtId="0" fontId="10" fillId="0" borderId="0"/>
    <xf numFmtId="0" fontId="10" fillId="0" borderId="5"/>
    <xf numFmtId="0" fontId="10" fillId="0" borderId="0"/>
    <xf numFmtId="0" fontId="10" fillId="0" borderId="0"/>
    <xf numFmtId="0" fontId="10" fillId="0" borderId="0"/>
    <xf numFmtId="0" fontId="10" fillId="0" borderId="7"/>
    <xf numFmtId="171" fontId="10" fillId="0" borderId="0"/>
    <xf numFmtId="170" fontId="10" fillId="0" borderId="0"/>
    <xf numFmtId="168" fontId="10" fillId="0" borderId="0"/>
  </cellStyleXfs>
  <cellXfs count="148">
    <xf numFmtId="0" fontId="0" fillId="0" borderId="0" xfId="0"/>
    <xf numFmtId="166" fontId="14" fillId="0" borderId="0" xfId="0" applyNumberFormat="1" applyFont="1"/>
    <xf numFmtId="0" fontId="14" fillId="0" borderId="0" xfId="0" applyFont="1"/>
    <xf numFmtId="166" fontId="14" fillId="0" borderId="1" xfId="0" applyNumberFormat="1" applyFont="1" applyBorder="1"/>
    <xf numFmtId="166" fontId="20" fillId="0" borderId="0" xfId="0" applyNumberFormat="1" applyFont="1"/>
    <xf numFmtId="166" fontId="14" fillId="0" borderId="2" xfId="0" applyNumberFormat="1" applyFont="1" applyBorder="1"/>
    <xf numFmtId="49" fontId="19" fillId="2" borderId="3" xfId="1" applyFont="1" applyFill="1">
      <alignment horizontal="left"/>
    </xf>
    <xf numFmtId="49" fontId="19" fillId="1" borderId="3" xfId="1" applyFont="1">
      <alignment horizontal="left"/>
    </xf>
    <xf numFmtId="49" fontId="19" fillId="0" borderId="3" xfId="1" applyFont="1" applyFill="1">
      <alignment horizontal="left"/>
    </xf>
    <xf numFmtId="170" fontId="19" fillId="0" borderId="8" xfId="18" applyFont="1" applyFill="1" applyBorder="1" applyAlignment="1"/>
    <xf numFmtId="0" fontId="19" fillId="0" borderId="3" xfId="5" applyFont="1" applyFill="1" applyAlignment="1"/>
    <xf numFmtId="0" fontId="19" fillId="0" borderId="8" xfId="5" applyFont="1" applyFill="1" applyBorder="1" applyAlignment="1"/>
    <xf numFmtId="0" fontId="19" fillId="0" borderId="9" xfId="5" applyFont="1" applyFill="1" applyBorder="1" applyAlignment="1"/>
    <xf numFmtId="167" fontId="19" fillId="0" borderId="3" xfId="2" applyFont="1" applyFill="1" applyBorder="1" applyAlignment="1"/>
    <xf numFmtId="166" fontId="18" fillId="0" borderId="0" xfId="0" quotePrefix="1" applyNumberFormat="1" applyFont="1"/>
    <xf numFmtId="166" fontId="19" fillId="0" borderId="0" xfId="0" applyNumberFormat="1" applyFont="1"/>
    <xf numFmtId="166" fontId="18" fillId="0" borderId="0" xfId="0" applyNumberFormat="1" applyFont="1"/>
    <xf numFmtId="177" fontId="14" fillId="0" borderId="1" xfId="11" applyNumberFormat="1" applyFont="1" applyBorder="1"/>
    <xf numFmtId="166" fontId="14" fillId="0" borderId="1" xfId="11" applyFont="1" applyBorder="1"/>
    <xf numFmtId="166" fontId="14" fillId="0" borderId="0" xfId="11" applyFont="1"/>
    <xf numFmtId="0" fontId="14" fillId="0" borderId="0" xfId="11" applyNumberFormat="1" applyFont="1"/>
    <xf numFmtId="0" fontId="14" fillId="7" borderId="8" xfId="11" applyNumberFormat="1" applyFont="1" applyFill="1" applyBorder="1" applyAlignment="1">
      <alignment horizontal="centerContinuous"/>
    </xf>
    <xf numFmtId="0" fontId="14" fillId="7" borderId="3" xfId="11" applyNumberFormat="1" applyFont="1" applyFill="1" applyBorder="1" applyAlignment="1">
      <alignment horizontal="centerContinuous"/>
    </xf>
    <xf numFmtId="0" fontId="14" fillId="7" borderId="10" xfId="11" applyNumberFormat="1" applyFont="1" applyFill="1" applyBorder="1" applyAlignment="1">
      <alignment horizontal="centerContinuous"/>
    </xf>
    <xf numFmtId="0" fontId="14" fillId="5" borderId="3" xfId="11" applyNumberFormat="1" applyFont="1" applyFill="1" applyBorder="1" applyAlignment="1">
      <alignment horizontal="centerContinuous"/>
    </xf>
    <xf numFmtId="0" fontId="14" fillId="5" borderId="10" xfId="11" applyNumberFormat="1" applyFont="1" applyFill="1" applyBorder="1" applyAlignment="1">
      <alignment horizontal="centerContinuous"/>
    </xf>
    <xf numFmtId="0" fontId="14" fillId="6" borderId="3" xfId="11" applyNumberFormat="1" applyFont="1" applyFill="1" applyBorder="1" applyAlignment="1">
      <alignment horizontal="centerContinuous"/>
    </xf>
    <xf numFmtId="0" fontId="14" fillId="6" borderId="10" xfId="11" applyNumberFormat="1" applyFont="1" applyFill="1" applyBorder="1" applyAlignment="1">
      <alignment horizontal="centerContinuous"/>
    </xf>
    <xf numFmtId="177" fontId="14" fillId="8" borderId="11" xfId="11" applyNumberFormat="1" applyFont="1" applyFill="1" applyBorder="1" applyAlignment="1">
      <alignment horizontal="center" vertical="top"/>
    </xf>
    <xf numFmtId="166" fontId="14" fillId="8" borderId="11" xfId="11" applyFont="1" applyFill="1" applyBorder="1" applyAlignment="1">
      <alignment horizontal="center" vertical="top"/>
    </xf>
    <xf numFmtId="166" fontId="14" fillId="8" borderId="11" xfId="11" applyFont="1" applyFill="1" applyBorder="1" applyAlignment="1">
      <alignment vertical="top"/>
    </xf>
    <xf numFmtId="166" fontId="14" fillId="8" borderId="11" xfId="11" applyFont="1" applyFill="1" applyBorder="1" applyAlignment="1">
      <alignment horizontal="center" vertical="top" wrapText="1"/>
    </xf>
    <xf numFmtId="166" fontId="14" fillId="8" borderId="8" xfId="11" applyFont="1" applyFill="1" applyBorder="1" applyAlignment="1">
      <alignment horizontal="center" vertical="top"/>
    </xf>
    <xf numFmtId="166" fontId="14" fillId="9" borderId="11" xfId="11" applyFont="1" applyFill="1" applyBorder="1" applyAlignment="1">
      <alignment vertical="top"/>
    </xf>
    <xf numFmtId="166" fontId="14" fillId="10" borderId="3" xfId="11" applyFont="1" applyFill="1" applyBorder="1" applyAlignment="1">
      <alignment horizontal="right" vertical="top"/>
    </xf>
    <xf numFmtId="166" fontId="14" fillId="10" borderId="10" xfId="11" applyFont="1" applyFill="1" applyBorder="1" applyAlignment="1">
      <alignment horizontal="right" vertical="top"/>
    </xf>
    <xf numFmtId="166" fontId="14" fillId="11" borderId="3" xfId="11" applyFont="1" applyFill="1" applyBorder="1" applyAlignment="1">
      <alignment horizontal="right" vertical="top"/>
    </xf>
    <xf numFmtId="166" fontId="14" fillId="11" borderId="10" xfId="11" applyFont="1" applyFill="1" applyBorder="1" applyAlignment="1">
      <alignment horizontal="right" vertical="top"/>
    </xf>
    <xf numFmtId="166" fontId="14" fillId="12" borderId="3" xfId="11" applyFont="1" applyFill="1" applyBorder="1" applyAlignment="1">
      <alignment horizontal="right" vertical="top"/>
    </xf>
    <xf numFmtId="166" fontId="14" fillId="12" borderId="10" xfId="11" applyFont="1" applyFill="1" applyBorder="1" applyAlignment="1">
      <alignment horizontal="right" vertical="top"/>
    </xf>
    <xf numFmtId="166" fontId="14" fillId="0" borderId="0" xfId="11" applyFont="1" applyAlignment="1">
      <alignment vertical="top"/>
    </xf>
    <xf numFmtId="49" fontId="21" fillId="0" borderId="12" xfId="0" applyNumberFormat="1" applyFont="1" applyBorder="1" applyAlignment="1">
      <alignment vertical="top"/>
    </xf>
    <xf numFmtId="0" fontId="14" fillId="0" borderId="13" xfId="0" applyFont="1" applyBorder="1"/>
    <xf numFmtId="0" fontId="14" fillId="0" borderId="13" xfId="0" applyFont="1" applyBorder="1" applyAlignment="1">
      <alignment wrapText="1"/>
    </xf>
    <xf numFmtId="167" fontId="14" fillId="0" borderId="13" xfId="2" applyFont="1" applyFill="1" applyBorder="1" applyAlignment="1"/>
    <xf numFmtId="167" fontId="14" fillId="0" borderId="14" xfId="2" applyFont="1" applyFill="1" applyBorder="1" applyAlignment="1"/>
    <xf numFmtId="167" fontId="14" fillId="0" borderId="12" xfId="2" applyFont="1" applyFill="1" applyBorder="1" applyAlignment="1"/>
    <xf numFmtId="172" fontId="14" fillId="0" borderId="21" xfId="12" applyFont="1" applyBorder="1" applyAlignment="1"/>
    <xf numFmtId="172" fontId="14" fillId="0" borderId="13" xfId="12" applyFont="1" applyBorder="1" applyAlignment="1"/>
    <xf numFmtId="178" fontId="14" fillId="0" borderId="13" xfId="0" applyNumberFormat="1" applyFont="1" applyBorder="1"/>
    <xf numFmtId="179" fontId="14" fillId="0" borderId="22" xfId="0" applyNumberFormat="1" applyFont="1" applyBorder="1"/>
    <xf numFmtId="177" fontId="14" fillId="0" borderId="0" xfId="11" applyNumberFormat="1" applyFont="1"/>
    <xf numFmtId="49" fontId="14" fillId="0" borderId="12" xfId="0" applyNumberFormat="1" applyFont="1" applyBorder="1" applyAlignment="1">
      <alignment vertical="top"/>
    </xf>
    <xf numFmtId="0" fontId="14" fillId="0" borderId="13" xfId="0" applyFont="1" applyBorder="1" applyAlignment="1">
      <alignment vertical="top"/>
    </xf>
    <xf numFmtId="1" fontId="14" fillId="13" borderId="12" xfId="0" applyNumberFormat="1" applyFont="1" applyFill="1" applyBorder="1"/>
    <xf numFmtId="0" fontId="14" fillId="13" borderId="13" xfId="0" applyFont="1" applyFill="1" applyBorder="1"/>
    <xf numFmtId="0" fontId="14" fillId="13" borderId="13" xfId="0" applyFont="1" applyFill="1" applyBorder="1" applyAlignment="1">
      <alignment wrapText="1"/>
    </xf>
    <xf numFmtId="167" fontId="14" fillId="13" borderId="13" xfId="2" applyFont="1" applyFill="1" applyBorder="1" applyAlignment="1"/>
    <xf numFmtId="167" fontId="21" fillId="13" borderId="20" xfId="2" applyFont="1" applyFill="1" applyBorder="1" applyAlignment="1"/>
    <xf numFmtId="0" fontId="14" fillId="0" borderId="12" xfId="0" applyFont="1" applyBorder="1" applyAlignment="1">
      <alignment vertical="top"/>
    </xf>
    <xf numFmtId="168" fontId="14" fillId="0" borderId="13" xfId="0" applyNumberFormat="1" applyFont="1" applyBorder="1"/>
    <xf numFmtId="170" fontId="14" fillId="0" borderId="13" xfId="0" applyNumberFormat="1" applyFont="1" applyBorder="1"/>
    <xf numFmtId="0" fontId="14" fillId="0" borderId="1" xfId="0" applyFont="1" applyBorder="1" applyProtection="1">
      <protection hidden="1"/>
    </xf>
    <xf numFmtId="0" fontId="14" fillId="0" borderId="15" xfId="0" applyFont="1" applyBorder="1" applyProtection="1">
      <protection hidden="1"/>
    </xf>
    <xf numFmtId="0" fontId="19" fillId="0" borderId="16" xfId="0" applyFont="1" applyBorder="1" applyAlignment="1" applyProtection="1">
      <alignment horizontal="right"/>
      <protection hidden="1"/>
    </xf>
    <xf numFmtId="0" fontId="14" fillId="0" borderId="1" xfId="0" applyFont="1" applyBorder="1" applyAlignment="1" applyProtection="1">
      <alignment horizontal="right"/>
      <protection hidden="1"/>
    </xf>
    <xf numFmtId="167" fontId="19" fillId="0" borderId="17" xfId="2" applyFont="1" applyFill="1" applyBorder="1" applyAlignment="1" applyProtection="1">
      <protection hidden="1"/>
    </xf>
    <xf numFmtId="167" fontId="19" fillId="0" borderId="15" xfId="2" applyFont="1" applyFill="1" applyBorder="1" applyAlignment="1" applyProtection="1">
      <protection hidden="1"/>
    </xf>
    <xf numFmtId="0" fontId="14" fillId="0" borderId="17" xfId="0" applyFont="1" applyBorder="1"/>
    <xf numFmtId="0" fontId="14" fillId="0" borderId="0" xfId="0" applyFont="1" applyProtection="1">
      <protection hidden="1"/>
    </xf>
    <xf numFmtId="0" fontId="19" fillId="0" borderId="5" xfId="0" applyFont="1" applyBorder="1" applyAlignment="1" applyProtection="1">
      <alignment horizontal="right"/>
      <protection hidden="1"/>
    </xf>
    <xf numFmtId="0" fontId="14" fillId="0" borderId="5" xfId="0" applyFont="1" applyBorder="1" applyAlignment="1" applyProtection="1">
      <alignment horizontal="right"/>
      <protection hidden="1"/>
    </xf>
    <xf numFmtId="167" fontId="19" fillId="0" borderId="5" xfId="2" applyFont="1" applyFill="1" applyBorder="1" applyAlignment="1" applyProtection="1">
      <protection hidden="1"/>
    </xf>
    <xf numFmtId="167" fontId="19" fillId="0" borderId="7" xfId="2" applyFont="1" applyFill="1" applyBorder="1" applyAlignment="1" applyProtection="1">
      <protection hidden="1"/>
    </xf>
    <xf numFmtId="0" fontId="19" fillId="0" borderId="4" xfId="0" applyFont="1" applyBorder="1" applyAlignment="1" applyProtection="1">
      <alignment horizontal="right"/>
      <protection hidden="1"/>
    </xf>
    <xf numFmtId="9" fontId="14" fillId="0" borderId="4" xfId="0" applyNumberFormat="1" applyFont="1" applyBorder="1" applyAlignment="1" applyProtection="1">
      <alignment horizontal="right"/>
      <protection hidden="1"/>
    </xf>
    <xf numFmtId="167" fontId="19" fillId="0" borderId="4" xfId="2" applyFont="1" applyFill="1" applyBorder="1" applyAlignment="1" applyProtection="1">
      <protection hidden="1"/>
    </xf>
    <xf numFmtId="0" fontId="19" fillId="0" borderId="18" xfId="0" applyFont="1" applyBorder="1" applyAlignment="1" applyProtection="1">
      <alignment horizontal="right"/>
      <protection hidden="1"/>
    </xf>
    <xf numFmtId="0" fontId="14" fillId="0" borderId="18" xfId="0" applyFont="1" applyBorder="1" applyAlignment="1" applyProtection="1">
      <alignment horizontal="right"/>
      <protection hidden="1"/>
    </xf>
    <xf numFmtId="167" fontId="19" fillId="0" borderId="18" xfId="2" applyFont="1" applyFill="1" applyBorder="1" applyAlignment="1" applyProtection="1">
      <protection hidden="1"/>
    </xf>
    <xf numFmtId="167" fontId="19" fillId="0" borderId="19" xfId="2" applyFont="1" applyFill="1" applyBorder="1" applyAlignment="1" applyProtection="1">
      <protection hidden="1"/>
    </xf>
    <xf numFmtId="49" fontId="19" fillId="14" borderId="3" xfId="201" quotePrefix="1" applyFont="1"/>
    <xf numFmtId="0" fontId="19" fillId="0" borderId="3" xfId="202" applyFont="1"/>
    <xf numFmtId="0" fontId="19" fillId="0" borderId="3" xfId="203" applyFont="1"/>
    <xf numFmtId="0" fontId="19" fillId="0" borderId="3" xfId="204" applyFont="1"/>
    <xf numFmtId="0" fontId="19" fillId="0" borderId="3" xfId="205" applyFont="1"/>
    <xf numFmtId="0" fontId="19" fillId="0" borderId="3" xfId="206" applyFont="1"/>
    <xf numFmtId="0" fontId="19" fillId="0" borderId="3" xfId="207" applyFont="1"/>
    <xf numFmtId="0" fontId="19" fillId="0" borderId="3" xfId="208" applyFont="1"/>
    <xf numFmtId="0" fontId="19" fillId="0" borderId="3" xfId="209" applyFont="1"/>
    <xf numFmtId="0" fontId="19" fillId="0" borderId="1" xfId="210" applyFont="1"/>
    <xf numFmtId="0" fontId="19" fillId="0" borderId="1" xfId="211" applyFont="1"/>
    <xf numFmtId="0" fontId="19" fillId="0" borderId="1" xfId="212" applyFont="1"/>
    <xf numFmtId="0" fontId="19" fillId="0" borderId="8" xfId="213" applyFont="1"/>
    <xf numFmtId="0" fontId="19" fillId="0" borderId="3" xfId="214" applyFont="1"/>
    <xf numFmtId="0" fontId="19" fillId="0" borderId="3" xfId="215" applyFont="1"/>
    <xf numFmtId="0" fontId="19" fillId="0" borderId="3" xfId="216" applyFont="1"/>
    <xf numFmtId="0" fontId="19" fillId="0" borderId="10" xfId="217" applyFont="1"/>
    <xf numFmtId="168" fontId="19" fillId="0" borderId="3" xfId="195" applyFont="1"/>
    <xf numFmtId="0" fontId="14" fillId="0" borderId="2" xfId="218" applyFont="1"/>
    <xf numFmtId="0" fontId="14" fillId="0" borderId="2" xfId="219" applyFont="1"/>
    <xf numFmtId="0" fontId="14" fillId="0" borderId="2" xfId="220" applyFont="1"/>
    <xf numFmtId="0" fontId="14" fillId="0" borderId="2" xfId="221" applyFont="1"/>
    <xf numFmtId="0" fontId="14" fillId="0" borderId="2" xfId="222" applyFont="1"/>
    <xf numFmtId="0" fontId="14" fillId="0" borderId="2" xfId="223" applyFont="1"/>
    <xf numFmtId="0" fontId="14" fillId="0" borderId="2" xfId="224" applyFont="1"/>
    <xf numFmtId="0" fontId="14" fillId="0" borderId="2" xfId="225" applyFont="1"/>
    <xf numFmtId="0" fontId="14" fillId="0" borderId="2" xfId="226" applyFont="1"/>
    <xf numFmtId="0" fontId="14" fillId="0" borderId="0" xfId="227" applyFont="1"/>
    <xf numFmtId="0" fontId="14" fillId="0" borderId="0" xfId="228" applyFont="1"/>
    <xf numFmtId="0" fontId="14" fillId="0" borderId="0" xfId="229" applyFont="1"/>
    <xf numFmtId="0" fontId="14" fillId="0" borderId="5" xfId="230" applyFont="1"/>
    <xf numFmtId="0" fontId="14" fillId="0" borderId="0" xfId="231" applyFont="1"/>
    <xf numFmtId="0" fontId="14" fillId="0" borderId="0" xfId="232" applyFont="1"/>
    <xf numFmtId="0" fontId="14" fillId="0" borderId="0" xfId="233" applyFont="1"/>
    <xf numFmtId="0" fontId="14" fillId="0" borderId="7" xfId="234" applyFont="1"/>
    <xf numFmtId="171" fontId="14" fillId="0" borderId="0" xfId="235" applyFont="1"/>
    <xf numFmtId="171" fontId="19" fillId="0" borderId="3" xfId="197" applyFont="1"/>
    <xf numFmtId="170" fontId="14" fillId="0" borderId="0" xfId="236" applyFont="1"/>
    <xf numFmtId="170" fontId="19" fillId="0" borderId="3" xfId="196" applyFont="1"/>
    <xf numFmtId="168" fontId="14" fillId="0" borderId="0" xfId="237" applyFont="1"/>
    <xf numFmtId="177" fontId="14" fillId="8" borderId="0" xfId="11" applyNumberFormat="1" applyFont="1" applyFill="1" applyAlignment="1">
      <alignment horizontal="center" vertical="top"/>
    </xf>
    <xf numFmtId="171" fontId="14" fillId="0" borderId="13" xfId="0" applyNumberFormat="1" applyFont="1" applyBorder="1"/>
    <xf numFmtId="172" fontId="14" fillId="0" borderId="23" xfId="12" applyFont="1" applyBorder="1" applyAlignment="1"/>
    <xf numFmtId="0" fontId="14" fillId="0" borderId="24" xfId="0" applyFont="1" applyBorder="1"/>
    <xf numFmtId="172" fontId="14" fillId="0" borderId="24" xfId="12" applyFont="1" applyBorder="1" applyAlignment="1"/>
    <xf numFmtId="167" fontId="14" fillId="0" borderId="24" xfId="2" applyFont="1" applyFill="1" applyBorder="1" applyAlignment="1"/>
    <xf numFmtId="178" fontId="14" fillId="0" borderId="24" xfId="0" applyNumberFormat="1" applyFont="1" applyBorder="1"/>
    <xf numFmtId="179" fontId="14" fillId="0" borderId="25" xfId="0" applyNumberFormat="1" applyFont="1" applyBorder="1"/>
    <xf numFmtId="0" fontId="10" fillId="0" borderId="0" xfId="227"/>
    <xf numFmtId="0" fontId="10" fillId="0" borderId="0" xfId="228"/>
    <xf numFmtId="0" fontId="10" fillId="0" borderId="0" xfId="229"/>
    <xf numFmtId="0" fontId="10" fillId="0" borderId="5" xfId="230"/>
    <xf numFmtId="0" fontId="10" fillId="15" borderId="0" xfId="231" applyFill="1"/>
    <xf numFmtId="0" fontId="10" fillId="0" borderId="0" xfId="232"/>
    <xf numFmtId="0" fontId="10" fillId="0" borderId="0" xfId="233"/>
    <xf numFmtId="0" fontId="10" fillId="0" borderId="7" xfId="234"/>
    <xf numFmtId="171" fontId="10" fillId="0" borderId="0" xfId="235"/>
    <xf numFmtId="0" fontId="10" fillId="0" borderId="0" xfId="231"/>
    <xf numFmtId="170" fontId="10" fillId="0" borderId="0" xfId="236"/>
    <xf numFmtId="0" fontId="10" fillId="15" borderId="0" xfId="228" applyFill="1"/>
    <xf numFmtId="0" fontId="10" fillId="15" borderId="0" xfId="229" applyFill="1" applyAlignment="1">
      <alignment horizontal="right"/>
    </xf>
    <xf numFmtId="170" fontId="14" fillId="0" borderId="0" xfId="6" applyFont="1"/>
    <xf numFmtId="170" fontId="19" fillId="0" borderId="3" xfId="6" applyFont="1" applyBorder="1"/>
    <xf numFmtId="170" fontId="14" fillId="0" borderId="0" xfId="231" applyNumberFormat="1" applyFont="1"/>
    <xf numFmtId="170" fontId="10" fillId="0" borderId="0" xfId="6" applyFont="1"/>
    <xf numFmtId="166" fontId="14" fillId="8" borderId="8" xfId="11" applyFont="1" applyFill="1" applyBorder="1" applyAlignment="1">
      <alignment horizontal="center" vertical="top" wrapText="1"/>
    </xf>
    <xf numFmtId="166" fontId="14" fillId="8" borderId="10" xfId="11" applyFont="1" applyFill="1" applyBorder="1" applyAlignment="1">
      <alignment horizontal="center" vertical="top" wrapText="1"/>
    </xf>
  </cellXfs>
  <cellStyles count="238">
    <cellStyle name="%" xfId="20" xr:uid="{00000000-0005-0000-0000-000000000000}"/>
    <cellStyle name="Aantal" xfId="21" xr:uid="{00000000-0005-0000-0000-000001000000}"/>
    <cellStyle name="ArticleStyle" xfId="1" xr:uid="{00000000-0005-0000-0000-000002000000}"/>
    <cellStyle name="ArticleStyle 2" xfId="22" xr:uid="{00000000-0005-0000-0000-000003000000}"/>
    <cellStyle name="Artikel" xfId="23" xr:uid="{00000000-0005-0000-0000-000004000000}"/>
    <cellStyle name="Comma0" xfId="16" xr:uid="{00000000-0005-0000-0000-000005000000}"/>
    <cellStyle name="D_AL1" xfId="201" xr:uid="{26322B84-EA30-44E8-8A62-520C904C8938}"/>
    <cellStyle name="D_AL2" xfId="202" xr:uid="{FC5A3660-9950-4FAD-B90A-DD806E738BD8}"/>
    <cellStyle name="D_AL3" xfId="203" xr:uid="{8E8E0143-9875-4DB0-AD20-B167AF91FAFE}"/>
    <cellStyle name="D_AL4" xfId="204" xr:uid="{AA715217-E399-4D79-BEBE-336F7C02C71D}"/>
    <cellStyle name="D_AL5" xfId="205" xr:uid="{6FBBFE67-F4E0-451C-A2CA-7D164E0B7862}"/>
    <cellStyle name="D_AL6" xfId="206" xr:uid="{24432A28-A4EF-4D74-9B84-DE21F1DC04A5}"/>
    <cellStyle name="D_AL7" xfId="207" xr:uid="{68391463-B3D0-4ED9-BAA5-4DCBC53B7CD0}"/>
    <cellStyle name="D_AL8" xfId="208" xr:uid="{FF291A98-8445-4F90-A5B6-2282D519BBF7}"/>
    <cellStyle name="D_AL9" xfId="209" xr:uid="{6973D6D9-A29F-4257-9E60-2462F0BAAA44}"/>
    <cellStyle name="D_ML1" xfId="218" xr:uid="{F3423024-1D76-43EF-8C96-3A48E0B1096B}"/>
    <cellStyle name="D_ML2" xfId="219" xr:uid="{C663DA94-D193-4F43-A1C5-3EA81812A3CC}"/>
    <cellStyle name="D_ML3" xfId="220" xr:uid="{400DCE88-4424-419E-B934-C0E0E13F1279}"/>
    <cellStyle name="D_ML4" xfId="221" xr:uid="{A88EAF30-50CA-46FA-800B-9E8E0C7DA88B}"/>
    <cellStyle name="D_ML5" xfId="222" xr:uid="{AC027BE3-7E85-42C5-B10B-9D990D7B691F}"/>
    <cellStyle name="D_ML6" xfId="223" xr:uid="{FFD0D230-F977-4466-80D6-12BDDF854A3E}"/>
    <cellStyle name="D_ML7" xfId="224" xr:uid="{9C4A268B-CDC9-49D2-9C71-D3D6BA67A3C6}"/>
    <cellStyle name="D_ML8" xfId="225" xr:uid="{6C5810F0-BFA0-47B0-BA0A-458DC8B7FFA3}"/>
    <cellStyle name="D_ML9" xfId="226" xr:uid="{86772BC3-1032-45A8-9163-394014B01D02}"/>
    <cellStyle name="D_MM1" xfId="227" xr:uid="{792035CF-39F9-47D4-8ED6-2A05425B78F7}"/>
    <cellStyle name="D_MM2" xfId="228" xr:uid="{51CE453E-1557-48D8-8748-FCAA671DB2F6}"/>
    <cellStyle name="D_MM3" xfId="229" xr:uid="{8C7E4E13-EA29-45C5-85C3-8E36839AAC73}"/>
    <cellStyle name="D_MM4" xfId="230" xr:uid="{A36CE0CF-A6B0-4CBF-8B28-B318A62CCBDD}"/>
    <cellStyle name="D_MM5" xfId="231" xr:uid="{848985A8-F662-489B-BCA8-B3FDDA0D5084}"/>
    <cellStyle name="D_MM6" xfId="232" xr:uid="{BEDCD894-5EFE-4780-8ECB-C623343B7A67}"/>
    <cellStyle name="D_MM7" xfId="233" xr:uid="{8A50EECD-CC52-4B1D-A855-3EA353611A4B}"/>
    <cellStyle name="D_MM8" xfId="234" xr:uid="{3A37A851-2EAA-4A4D-B60C-58CF894BF90A}"/>
    <cellStyle name="D_MQ_0" xfId="237" xr:uid="{84F0A9A6-D5C3-4951-A7E4-C68EB45FA6EC}"/>
    <cellStyle name="D_MQ_2" xfId="236" xr:uid="{CBEFBDD0-4C4B-4779-B4EC-27D7285D02D8}"/>
    <cellStyle name="D_MQ_3" xfId="235" xr:uid="{1BE30B3D-C6BC-4D99-BDEB-469C55518A70}"/>
    <cellStyle name="D_MT1" xfId="210" xr:uid="{413BE49F-587B-46E8-AE57-5EF5BBEFEB58}"/>
    <cellStyle name="D_MT2" xfId="211" xr:uid="{7FFBC3E5-EB75-4166-A11B-E7B279A49579}"/>
    <cellStyle name="D_MT3" xfId="212" xr:uid="{736DC941-536B-4B02-9022-B8D859311550}"/>
    <cellStyle name="D_MT4" xfId="213" xr:uid="{61839D4E-F9CD-4A61-A2BB-6196F2291589}"/>
    <cellStyle name="D_MT5" xfId="214" xr:uid="{1FB66189-1BDB-4B07-B0A0-CEAA7D9BD0CE}"/>
    <cellStyle name="D_MT6" xfId="215" xr:uid="{31BD244F-9FB7-40D5-A5DB-0760FCC3ACC6}"/>
    <cellStyle name="D_MT7" xfId="216" xr:uid="{1B049931-C7F7-4D5A-AB76-32A7EFA00E90}"/>
    <cellStyle name="D_MT8" xfId="217" xr:uid="{426B23D1-A083-4B39-9886-89A4F4BF4B49}"/>
    <cellStyle name="D_TQ_0" xfId="195" xr:uid="{A621972D-D073-4B7C-A970-BE6D82DA4F79}"/>
    <cellStyle name="D_TQ_2" xfId="196" xr:uid="{09F107A1-E4ED-4A72-993A-0E55F5BF8019}"/>
    <cellStyle name="D_TQ_3" xfId="197" xr:uid="{2FC0EDE8-5E75-4EF8-BA6E-982D8D43E795}"/>
    <cellStyle name="dag" xfId="24" xr:uid="{00000000-0005-0000-0000-000006000000}"/>
    <cellStyle name="dm²" xfId="25" xr:uid="{00000000-0005-0000-0000-000007000000}"/>
    <cellStyle name="dm³" xfId="26" xr:uid="{00000000-0005-0000-0000-000008000000}"/>
    <cellStyle name="Eur/u" xfId="27" xr:uid="{00000000-0005-0000-0000-000009000000}"/>
    <cellStyle name="Eur/u 2" xfId="91" xr:uid="{00000000-0005-0000-0000-00000A000000}"/>
    <cellStyle name="FF" xfId="28" xr:uid="{00000000-0005-0000-0000-00000B000000}"/>
    <cellStyle name="Fixed" xfId="17" xr:uid="{00000000-0005-0000-0000-00000C000000}"/>
    <cellStyle name="GP" xfId="29" xr:uid="{00000000-0005-0000-0000-00000D000000}"/>
    <cellStyle name="hl" xfId="30" xr:uid="{00000000-0005-0000-0000-00000E000000}"/>
    <cellStyle name="hr" xfId="31" xr:uid="{00000000-0005-0000-0000-00000F000000}"/>
    <cellStyle name="jour" xfId="32" xr:uid="{00000000-0005-0000-0000-000010000000}"/>
    <cellStyle name="kg" xfId="9" xr:uid="{00000000-0005-0000-0000-000011000000}"/>
    <cellStyle name="kW" xfId="33" xr:uid="{00000000-0005-0000-0000-000012000000}"/>
    <cellStyle name="l" xfId="34" xr:uid="{00000000-0005-0000-0000-000013000000}"/>
    <cellStyle name="lm" xfId="35" xr:uid="{00000000-0005-0000-0000-000014000000}"/>
    <cellStyle name="m" xfId="8" xr:uid="{00000000-0005-0000-0000-000015000000}"/>
    <cellStyle name="m_Book1" xfId="36" xr:uid="{00000000-0005-0000-0000-000016000000}"/>
    <cellStyle name="m_measure2008" xfId="37" xr:uid="{00000000-0005-0000-0000-000017000000}"/>
    <cellStyle name="m_Vord_gegevens_dialog" xfId="38" xr:uid="{00000000-0005-0000-0000-000018000000}"/>
    <cellStyle name="m_Vord_module" xfId="39" xr:uid="{00000000-0005-0000-0000-000019000000}"/>
    <cellStyle name="m1" xfId="40" xr:uid="{00000000-0005-0000-0000-00001A000000}"/>
    <cellStyle name="m2" xfId="6" xr:uid="{00000000-0005-0000-0000-00001B000000}"/>
    <cellStyle name="m²" xfId="41" xr:uid="{00000000-0005-0000-0000-00001C000000}"/>
    <cellStyle name="m2_Book1" xfId="42" xr:uid="{00000000-0005-0000-0000-00001D000000}"/>
    <cellStyle name="m3" xfId="7" xr:uid="{00000000-0005-0000-0000-00001E000000}"/>
    <cellStyle name="m³" xfId="43" xr:uid="{00000000-0005-0000-0000-00001F000000}"/>
    <cellStyle name="m3_Book1" xfId="44" xr:uid="{00000000-0005-0000-0000-000020000000}"/>
    <cellStyle name="marche" xfId="45" xr:uid="{00000000-0005-0000-0000-000021000000}"/>
    <cellStyle name="mc" xfId="46" xr:uid="{00000000-0005-0000-0000-000022000000}"/>
    <cellStyle name="mnd" xfId="47" xr:uid="{00000000-0005-0000-0000-000023000000}"/>
    <cellStyle name="mois" xfId="48" xr:uid="{00000000-0005-0000-0000-000024000000}"/>
    <cellStyle name="Multiplication" xfId="4" xr:uid="{00000000-0005-0000-0000-000025000000}"/>
    <cellStyle name="Normal 2" xfId="11" xr:uid="{00000000-0005-0000-0000-000026000000}"/>
    <cellStyle name="Normal 2 2" xfId="50" xr:uid="{00000000-0005-0000-0000-000027000000}"/>
    <cellStyle name="Normal 2 3" xfId="51" xr:uid="{00000000-0005-0000-0000-000028000000}"/>
    <cellStyle name="Normal 2 4" xfId="49" xr:uid="{00000000-0005-0000-0000-000029000000}"/>
    <cellStyle name="Normal 2_Book1" xfId="52" xr:uid="{00000000-0005-0000-0000-00002A000000}"/>
    <cellStyle name="Normal 3" xfId="53" xr:uid="{00000000-0005-0000-0000-00002B000000}"/>
    <cellStyle name="Normal 3 10" xfId="142" xr:uid="{00000000-0005-0000-0000-00002C000000}"/>
    <cellStyle name="Normal 3 2" xfId="85" xr:uid="{00000000-0005-0000-0000-00002D000000}"/>
    <cellStyle name="Normal 3 2 2" xfId="89" xr:uid="{00000000-0005-0000-0000-00002E000000}"/>
    <cellStyle name="Normal 3 2 2 2" xfId="96" xr:uid="{00000000-0005-0000-0000-00002F000000}"/>
    <cellStyle name="Normal 3 2 2 2 2" xfId="114" xr:uid="{00000000-0005-0000-0000-000030000000}"/>
    <cellStyle name="Normal 3 2 2 2 2 2" xfId="167" xr:uid="{00000000-0005-0000-0000-000031000000}"/>
    <cellStyle name="Normal 3 2 2 2 3" xfId="104" xr:uid="{00000000-0005-0000-0000-000032000000}"/>
    <cellStyle name="Normal 3 2 2 2 3 2" xfId="158" xr:uid="{00000000-0005-0000-0000-000033000000}"/>
    <cellStyle name="Normal 3 2 2 2 4" xfId="123" xr:uid="{00000000-0005-0000-0000-000034000000}"/>
    <cellStyle name="Normal 3 2 2 2 4 2" xfId="176" xr:uid="{00000000-0005-0000-0000-000035000000}"/>
    <cellStyle name="Normal 3 2 2 2 5" xfId="132" xr:uid="{00000000-0005-0000-0000-000036000000}"/>
    <cellStyle name="Normal 3 2 2 2 5 2" xfId="185" xr:uid="{00000000-0005-0000-0000-000037000000}"/>
    <cellStyle name="Normal 3 2 2 2 6" xfId="141" xr:uid="{00000000-0005-0000-0000-000038000000}"/>
    <cellStyle name="Normal 3 2 2 2 6 2" xfId="194" xr:uid="{00000000-0005-0000-0000-000039000000}"/>
    <cellStyle name="Normal 3 2 2 2 7" xfId="150" xr:uid="{00000000-0005-0000-0000-00003A000000}"/>
    <cellStyle name="Normal 3 2 2 3" xfId="110" xr:uid="{00000000-0005-0000-0000-00003B000000}"/>
    <cellStyle name="Normal 3 2 2 3 2" xfId="163" xr:uid="{00000000-0005-0000-0000-00003C000000}"/>
    <cellStyle name="Normal 3 2 2 4" xfId="100" xr:uid="{00000000-0005-0000-0000-00003D000000}"/>
    <cellStyle name="Normal 3 2 2 4 2" xfId="154" xr:uid="{00000000-0005-0000-0000-00003E000000}"/>
    <cellStyle name="Normal 3 2 2 5" xfId="119" xr:uid="{00000000-0005-0000-0000-00003F000000}"/>
    <cellStyle name="Normal 3 2 2 5 2" xfId="172" xr:uid="{00000000-0005-0000-0000-000040000000}"/>
    <cellStyle name="Normal 3 2 2 6" xfId="128" xr:uid="{00000000-0005-0000-0000-000041000000}"/>
    <cellStyle name="Normal 3 2 2 6 2" xfId="181" xr:uid="{00000000-0005-0000-0000-000042000000}"/>
    <cellStyle name="Normal 3 2 2 7" xfId="137" xr:uid="{00000000-0005-0000-0000-000043000000}"/>
    <cellStyle name="Normal 3 2 2 7 2" xfId="190" xr:uid="{00000000-0005-0000-0000-000044000000}"/>
    <cellStyle name="Normal 3 2 2 8" xfId="146" xr:uid="{00000000-0005-0000-0000-000045000000}"/>
    <cellStyle name="Normal 3 2 3" xfId="94" xr:uid="{00000000-0005-0000-0000-000046000000}"/>
    <cellStyle name="Normal 3 2 3 2" xfId="112" xr:uid="{00000000-0005-0000-0000-000047000000}"/>
    <cellStyle name="Normal 3 2 3 2 2" xfId="165" xr:uid="{00000000-0005-0000-0000-000048000000}"/>
    <cellStyle name="Normal 3 2 3 3" xfId="102" xr:uid="{00000000-0005-0000-0000-000049000000}"/>
    <cellStyle name="Normal 3 2 3 3 2" xfId="156" xr:uid="{00000000-0005-0000-0000-00004A000000}"/>
    <cellStyle name="Normal 3 2 3 4" xfId="121" xr:uid="{00000000-0005-0000-0000-00004B000000}"/>
    <cellStyle name="Normal 3 2 3 4 2" xfId="174" xr:uid="{00000000-0005-0000-0000-00004C000000}"/>
    <cellStyle name="Normal 3 2 3 5" xfId="130" xr:uid="{00000000-0005-0000-0000-00004D000000}"/>
    <cellStyle name="Normal 3 2 3 5 2" xfId="183" xr:uid="{00000000-0005-0000-0000-00004E000000}"/>
    <cellStyle name="Normal 3 2 3 6" xfId="139" xr:uid="{00000000-0005-0000-0000-00004F000000}"/>
    <cellStyle name="Normal 3 2 3 6 2" xfId="192" xr:uid="{00000000-0005-0000-0000-000050000000}"/>
    <cellStyle name="Normal 3 2 3 7" xfId="148" xr:uid="{00000000-0005-0000-0000-000051000000}"/>
    <cellStyle name="Normal 3 2 4" xfId="107" xr:uid="{00000000-0005-0000-0000-000052000000}"/>
    <cellStyle name="Normal 3 2 4 2" xfId="160" xr:uid="{00000000-0005-0000-0000-000053000000}"/>
    <cellStyle name="Normal 3 2 5" xfId="98" xr:uid="{00000000-0005-0000-0000-000054000000}"/>
    <cellStyle name="Normal 3 2 5 2" xfId="152" xr:uid="{00000000-0005-0000-0000-000055000000}"/>
    <cellStyle name="Normal 3 2 6" xfId="116" xr:uid="{00000000-0005-0000-0000-000056000000}"/>
    <cellStyle name="Normal 3 2 6 2" xfId="169" xr:uid="{00000000-0005-0000-0000-000057000000}"/>
    <cellStyle name="Normal 3 2 7" xfId="125" xr:uid="{00000000-0005-0000-0000-000058000000}"/>
    <cellStyle name="Normal 3 2 7 2" xfId="178" xr:uid="{00000000-0005-0000-0000-000059000000}"/>
    <cellStyle name="Normal 3 2 8" xfId="134" xr:uid="{00000000-0005-0000-0000-00005A000000}"/>
    <cellStyle name="Normal 3 2 8 2" xfId="187" xr:uid="{00000000-0005-0000-0000-00005B000000}"/>
    <cellStyle name="Normal 3 2 9" xfId="143" xr:uid="{00000000-0005-0000-0000-00005C000000}"/>
    <cellStyle name="Normal 3 3" xfId="88" xr:uid="{00000000-0005-0000-0000-00005D000000}"/>
    <cellStyle name="Normal 3 3 2" xfId="95" xr:uid="{00000000-0005-0000-0000-00005E000000}"/>
    <cellStyle name="Normal 3 3 2 2" xfId="113" xr:uid="{00000000-0005-0000-0000-00005F000000}"/>
    <cellStyle name="Normal 3 3 2 2 2" xfId="166" xr:uid="{00000000-0005-0000-0000-000060000000}"/>
    <cellStyle name="Normal 3 3 2 3" xfId="103" xr:uid="{00000000-0005-0000-0000-000061000000}"/>
    <cellStyle name="Normal 3 3 2 3 2" xfId="157" xr:uid="{00000000-0005-0000-0000-000062000000}"/>
    <cellStyle name="Normal 3 3 2 4" xfId="122" xr:uid="{00000000-0005-0000-0000-000063000000}"/>
    <cellStyle name="Normal 3 3 2 4 2" xfId="175" xr:uid="{00000000-0005-0000-0000-000064000000}"/>
    <cellStyle name="Normal 3 3 2 5" xfId="131" xr:uid="{00000000-0005-0000-0000-000065000000}"/>
    <cellStyle name="Normal 3 3 2 5 2" xfId="184" xr:uid="{00000000-0005-0000-0000-000066000000}"/>
    <cellStyle name="Normal 3 3 2 6" xfId="140" xr:uid="{00000000-0005-0000-0000-000067000000}"/>
    <cellStyle name="Normal 3 3 2 6 2" xfId="193" xr:uid="{00000000-0005-0000-0000-000068000000}"/>
    <cellStyle name="Normal 3 3 2 7" xfId="149" xr:uid="{00000000-0005-0000-0000-000069000000}"/>
    <cellStyle name="Normal 3 3 3" xfId="109" xr:uid="{00000000-0005-0000-0000-00006A000000}"/>
    <cellStyle name="Normal 3 3 3 2" xfId="162" xr:uid="{00000000-0005-0000-0000-00006B000000}"/>
    <cellStyle name="Normal 3 3 4" xfId="99" xr:uid="{00000000-0005-0000-0000-00006C000000}"/>
    <cellStyle name="Normal 3 3 4 2" xfId="153" xr:uid="{00000000-0005-0000-0000-00006D000000}"/>
    <cellStyle name="Normal 3 3 5" xfId="118" xr:uid="{00000000-0005-0000-0000-00006E000000}"/>
    <cellStyle name="Normal 3 3 5 2" xfId="171" xr:uid="{00000000-0005-0000-0000-00006F000000}"/>
    <cellStyle name="Normal 3 3 6" xfId="127" xr:uid="{00000000-0005-0000-0000-000070000000}"/>
    <cellStyle name="Normal 3 3 6 2" xfId="180" xr:uid="{00000000-0005-0000-0000-000071000000}"/>
    <cellStyle name="Normal 3 3 7" xfId="136" xr:uid="{00000000-0005-0000-0000-000072000000}"/>
    <cellStyle name="Normal 3 3 7 2" xfId="189" xr:uid="{00000000-0005-0000-0000-000073000000}"/>
    <cellStyle name="Normal 3 3 8" xfId="145" xr:uid="{00000000-0005-0000-0000-000074000000}"/>
    <cellStyle name="Normal 3 4" xfId="92" xr:uid="{00000000-0005-0000-0000-000075000000}"/>
    <cellStyle name="Normal 3 4 2" xfId="111" xr:uid="{00000000-0005-0000-0000-000076000000}"/>
    <cellStyle name="Normal 3 4 2 2" xfId="164" xr:uid="{00000000-0005-0000-0000-000077000000}"/>
    <cellStyle name="Normal 3 4 3" xfId="101" xr:uid="{00000000-0005-0000-0000-000078000000}"/>
    <cellStyle name="Normal 3 4 3 2" xfId="155" xr:uid="{00000000-0005-0000-0000-000079000000}"/>
    <cellStyle name="Normal 3 4 4" xfId="120" xr:uid="{00000000-0005-0000-0000-00007A000000}"/>
    <cellStyle name="Normal 3 4 4 2" xfId="173" xr:uid="{00000000-0005-0000-0000-00007B000000}"/>
    <cellStyle name="Normal 3 4 5" xfId="129" xr:uid="{00000000-0005-0000-0000-00007C000000}"/>
    <cellStyle name="Normal 3 4 5 2" xfId="182" xr:uid="{00000000-0005-0000-0000-00007D000000}"/>
    <cellStyle name="Normal 3 4 6" xfId="138" xr:uid="{00000000-0005-0000-0000-00007E000000}"/>
    <cellStyle name="Normal 3 4 6 2" xfId="191" xr:uid="{00000000-0005-0000-0000-00007F000000}"/>
    <cellStyle name="Normal 3 4 7" xfId="147" xr:uid="{00000000-0005-0000-0000-000080000000}"/>
    <cellStyle name="Normal 3 5" xfId="106" xr:uid="{00000000-0005-0000-0000-000081000000}"/>
    <cellStyle name="Normal 3 5 2" xfId="159" xr:uid="{00000000-0005-0000-0000-000082000000}"/>
    <cellStyle name="Normal 3 6" xfId="97" xr:uid="{00000000-0005-0000-0000-000083000000}"/>
    <cellStyle name="Normal 3 6 2" xfId="151" xr:uid="{00000000-0005-0000-0000-000084000000}"/>
    <cellStyle name="Normal 3 7" xfId="115" xr:uid="{00000000-0005-0000-0000-000085000000}"/>
    <cellStyle name="Normal 3 7 2" xfId="168" xr:uid="{00000000-0005-0000-0000-000086000000}"/>
    <cellStyle name="Normal 3 8" xfId="124" xr:uid="{00000000-0005-0000-0000-000087000000}"/>
    <cellStyle name="Normal 3 8 2" xfId="177" xr:uid="{00000000-0005-0000-0000-000088000000}"/>
    <cellStyle name="Normal 3 9" xfId="133" xr:uid="{00000000-0005-0000-0000-000089000000}"/>
    <cellStyle name="Normal 3 9 2" xfId="186" xr:uid="{00000000-0005-0000-0000-00008A000000}"/>
    <cellStyle name="Normal 4" xfId="86" xr:uid="{00000000-0005-0000-0000-00008B000000}"/>
    <cellStyle name="Normal 4 2" xfId="198" xr:uid="{AAD112B9-9404-4532-B487-A640A3BDAC35}"/>
    <cellStyle name="p" xfId="54" xr:uid="{00000000-0005-0000-0000-00008C000000}"/>
    <cellStyle name="PG" xfId="55" xr:uid="{00000000-0005-0000-0000-00008D000000}"/>
    <cellStyle name="pièce" xfId="56" xr:uid="{00000000-0005-0000-0000-00008E000000}"/>
    <cellStyle name="PM" xfId="18" xr:uid="{00000000-0005-0000-0000-00008F000000}"/>
    <cellStyle name="PriceIncl" xfId="12" xr:uid="{00000000-0005-0000-0000-000090000000}"/>
    <cellStyle name="PriceStyle" xfId="2" xr:uid="{00000000-0005-0000-0000-000091000000}"/>
    <cellStyle name="PriceStyle 2" xfId="57" xr:uid="{00000000-0005-0000-0000-000092000000}"/>
    <cellStyle name="PriceStyle 2 2" xfId="93" xr:uid="{00000000-0005-0000-0000-000093000000}"/>
    <cellStyle name="prijs" xfId="58" xr:uid="{00000000-0005-0000-0000-000094000000}"/>
    <cellStyle name="prijs 2" xfId="59" xr:uid="{00000000-0005-0000-0000-000095000000}"/>
    <cellStyle name="PT" xfId="60" xr:uid="{00000000-0005-0000-0000-000097000000}"/>
    <cellStyle name="semaine" xfId="61" xr:uid="{00000000-0005-0000-0000-000098000000}"/>
    <cellStyle name="SOG" xfId="13" xr:uid="{00000000-0005-0000-0000-000099000000}"/>
    <cellStyle name="SR" xfId="62" xr:uid="{00000000-0005-0000-0000-00009A000000}"/>
    <cellStyle name="st" xfId="3" xr:uid="{00000000-0005-0000-0000-00009B000000}"/>
    <cellStyle name="Standaard" xfId="0" builtinId="0"/>
    <cellStyle name="Standaard 2" xfId="14" xr:uid="{00000000-0005-0000-0000-00009D000000}"/>
    <cellStyle name="Standaard 2 2" xfId="63" xr:uid="{00000000-0005-0000-0000-00009E000000}"/>
    <cellStyle name="Standaard 3" xfId="15" xr:uid="{00000000-0005-0000-0000-00009F000000}"/>
    <cellStyle name="Standaard 4" xfId="19" xr:uid="{00000000-0005-0000-0000-0000A0000000}"/>
    <cellStyle name="Standaard 5" xfId="90" xr:uid="{00000000-0005-0000-0000-0000A1000000}"/>
    <cellStyle name="Standaard 6" xfId="105" xr:uid="{00000000-0005-0000-0000-0000A2000000}"/>
    <cellStyle name="Standaard 7" xfId="199" xr:uid="{E6AC0079-AEF3-4A44-B8C0-4115A2AA99DB}"/>
    <cellStyle name="Standaard 8" xfId="200" xr:uid="{D089975B-5906-4D53-80A9-C6BF32098D9B}"/>
    <cellStyle name="stuk" xfId="64" xr:uid="{00000000-0005-0000-0000-0000A3000000}"/>
    <cellStyle name="stuk 2" xfId="65" xr:uid="{00000000-0005-0000-0000-0000A4000000}"/>
    <cellStyle name="SubarticleStyle" xfId="66" xr:uid="{00000000-0005-0000-0000-0000A5000000}"/>
    <cellStyle name="Subartikel" xfId="67" xr:uid="{00000000-0005-0000-0000-0000A6000000}"/>
    <cellStyle name="Subartikel 2" xfId="68" xr:uid="{00000000-0005-0000-0000-0000A7000000}"/>
    <cellStyle name="Subtitel" xfId="69" xr:uid="{00000000-0005-0000-0000-0000A8000000}"/>
    <cellStyle name="Subtitel 2" xfId="70" xr:uid="{00000000-0005-0000-0000-0000A9000000}"/>
    <cellStyle name="T" xfId="71" xr:uid="{00000000-0005-0000-0000-0000AA000000}"/>
    <cellStyle name="Titel 2" xfId="73" xr:uid="{00000000-0005-0000-0000-0000AB000000}"/>
    <cellStyle name="Titel 3" xfId="72" xr:uid="{00000000-0005-0000-0000-0000AC000000}"/>
    <cellStyle name="ton" xfId="74" xr:uid="{00000000-0005-0000-0000-0000AD000000}"/>
    <cellStyle name="tonne" xfId="75" xr:uid="{00000000-0005-0000-0000-0000AE000000}"/>
    <cellStyle name="totaal 2" xfId="77" xr:uid="{00000000-0005-0000-0000-0000AF000000}"/>
    <cellStyle name="totaal 3" xfId="76" xr:uid="{00000000-0005-0000-0000-0000B0000000}"/>
    <cellStyle name="TotalStyle" xfId="5" xr:uid="{00000000-0005-0000-0000-0000B1000000}"/>
    <cellStyle name="TotalStyle 2" xfId="78" xr:uid="{00000000-0005-0000-0000-0000B2000000}"/>
    <cellStyle name="TP" xfId="79" xr:uid="{00000000-0005-0000-0000-0000B3000000}"/>
    <cellStyle name="trede" xfId="80" xr:uid="{00000000-0005-0000-0000-0000B4000000}"/>
    <cellStyle name="uur" xfId="81" xr:uid="{00000000-0005-0000-0000-0000B5000000}"/>
    <cellStyle name="Valuta 2" xfId="87" xr:uid="{00000000-0005-0000-0000-0000B6000000}"/>
    <cellStyle name="Valuta 2 2" xfId="108" xr:uid="{00000000-0005-0000-0000-0000B7000000}"/>
    <cellStyle name="Valuta 2 2 2" xfId="161" xr:uid="{00000000-0005-0000-0000-0000B8000000}"/>
    <cellStyle name="Valuta 2 3" xfId="144" xr:uid="{00000000-0005-0000-0000-0000B9000000}"/>
    <cellStyle name="Valuta 3" xfId="117" xr:uid="{00000000-0005-0000-0000-0000BA000000}"/>
    <cellStyle name="Valuta 3 2" xfId="170" xr:uid="{00000000-0005-0000-0000-0000BB000000}"/>
    <cellStyle name="Valuta 4" xfId="126" xr:uid="{00000000-0005-0000-0000-0000BC000000}"/>
    <cellStyle name="Valuta 4 2" xfId="179" xr:uid="{00000000-0005-0000-0000-0000BD000000}"/>
    <cellStyle name="Valuta 5" xfId="135" xr:uid="{00000000-0005-0000-0000-0000BE000000}"/>
    <cellStyle name="Valuta 5 2" xfId="188" xr:uid="{00000000-0005-0000-0000-0000BF000000}"/>
    <cellStyle name="W" xfId="82" xr:uid="{00000000-0005-0000-0000-0000C0000000}"/>
    <cellStyle name="week" xfId="83" xr:uid="{00000000-0005-0000-0000-0000C1000000}"/>
    <cellStyle name="Wp" xfId="10" xr:uid="{00000000-0005-0000-0000-0000C2000000}"/>
    <cellStyle name="x" xfId="84" xr:uid="{00000000-0005-0000-0000-0000C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ST\AppData\Roaming\Microsoft\Excel\XLSTART\mfunc.xla" TargetMode="External"/><Relationship Id="rId1" Type="http://schemas.microsoft.com/office/2006/relationships/xlExternalLinkPath/xlStartup" Target="mfunc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lad1"/>
      <sheetName val="Macro1"/>
      <sheetName val="Functions_languageSpecific"/>
      <sheetName val="mfunc"/>
    </sheetNames>
    <definedNames>
      <definedName name="ArticleCode"/>
      <definedName name="ArticleDescription"/>
      <definedName name="ArticleMeasureType"/>
      <definedName name="ArticleMeasureUnit"/>
      <definedName name="ArticleQuantity"/>
    </definedNames>
    <sheetDataSet>
      <sheetData sheetId="0"/>
      <sheetData sheetId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M_N">
    <pageSetUpPr fitToPage="1"/>
  </sheetPr>
  <dimension ref="A1:J796"/>
  <sheetViews>
    <sheetView showZeros="0" topLeftCell="A385" zoomScale="115" zoomScaleNormal="115" workbookViewId="0">
      <selection activeCell="B387" sqref="B387"/>
    </sheetView>
  </sheetViews>
  <sheetFormatPr defaultColWidth="0" defaultRowHeight="12.75"/>
  <cols>
    <col min="1" max="1" width="8.5703125" style="1" customWidth="1"/>
    <col min="2" max="2" width="58.42578125" style="1" customWidth="1"/>
    <col min="3" max="3" width="44" style="1" customWidth="1"/>
    <col min="4" max="4" width="19.42578125" style="1" customWidth="1"/>
    <col min="5" max="6" width="10.7109375" style="1" customWidth="1"/>
    <col min="7" max="7" width="5.7109375" style="1" customWidth="1"/>
    <col min="8" max="8" width="7.28515625" style="1" customWidth="1"/>
    <col min="9" max="9" width="12.7109375" style="1" customWidth="1"/>
    <col min="10" max="10" width="1" style="1" customWidth="1"/>
    <col min="11" max="16384" width="9.140625" style="1" hidden="1"/>
  </cols>
  <sheetData>
    <row r="1" spans="1:10" ht="7.5" hidden="1" customHeight="1">
      <c r="A1" s="3" t="s">
        <v>386</v>
      </c>
      <c r="B1" s="3" t="s">
        <v>387</v>
      </c>
      <c r="C1" s="3"/>
      <c r="D1" s="3"/>
      <c r="E1" s="3"/>
      <c r="F1" s="3"/>
      <c r="G1" s="3"/>
      <c r="H1" s="3"/>
      <c r="I1" s="3"/>
      <c r="J1" s="3"/>
    </row>
    <row r="3" spans="1:10">
      <c r="A3" s="1" t="s">
        <v>3</v>
      </c>
      <c r="B3" s="14" t="s">
        <v>117</v>
      </c>
      <c r="F3" s="15"/>
    </row>
    <row r="4" spans="1:10">
      <c r="A4" s="1" t="s">
        <v>0</v>
      </c>
      <c r="B4" s="15" t="s">
        <v>120</v>
      </c>
      <c r="F4" s="15"/>
    </row>
    <row r="5" spans="1:10">
      <c r="A5" s="1" t="s">
        <v>1</v>
      </c>
      <c r="B5" s="16" t="s">
        <v>118</v>
      </c>
    </row>
    <row r="6" spans="1:10">
      <c r="A6" s="1" t="s">
        <v>2</v>
      </c>
      <c r="B6" s="16" t="s">
        <v>119</v>
      </c>
      <c r="I6" s="4"/>
      <c r="J6" s="4"/>
    </row>
    <row r="7" spans="1:10">
      <c r="A7" s="5"/>
      <c r="B7" s="5"/>
      <c r="C7" s="5"/>
      <c r="D7" s="5"/>
      <c r="E7" s="5"/>
      <c r="F7" s="5"/>
      <c r="G7" s="5"/>
      <c r="H7" s="5"/>
      <c r="I7" s="5"/>
      <c r="J7" s="5"/>
    </row>
    <row r="10" spans="1:10">
      <c r="A10" s="6" t="s">
        <v>4</v>
      </c>
      <c r="B10" s="13" t="s">
        <v>5</v>
      </c>
      <c r="C10" s="13"/>
      <c r="D10" s="13"/>
      <c r="E10" s="13"/>
      <c r="F10" s="13"/>
      <c r="G10" s="13"/>
      <c r="H10" s="13"/>
      <c r="I10" s="13"/>
    </row>
    <row r="13" spans="1:10">
      <c r="A13" s="6" t="s">
        <v>6</v>
      </c>
      <c r="B13" s="13" t="s">
        <v>7</v>
      </c>
      <c r="C13" s="13"/>
      <c r="D13" s="13"/>
      <c r="E13" s="13"/>
      <c r="F13" s="13"/>
      <c r="G13" s="13"/>
      <c r="H13" s="13"/>
      <c r="I13" s="13"/>
    </row>
    <row r="16" spans="1:10">
      <c r="A16" s="6" t="s">
        <v>8</v>
      </c>
      <c r="B16" s="13" t="s">
        <v>9</v>
      </c>
      <c r="C16" s="13"/>
      <c r="D16" s="13"/>
      <c r="E16" s="13"/>
      <c r="F16" s="13"/>
      <c r="G16" s="13"/>
      <c r="H16" s="13"/>
      <c r="I16" s="13"/>
    </row>
    <row r="19" spans="1:9">
      <c r="A19" s="6" t="s">
        <v>10</v>
      </c>
      <c r="B19" s="13" t="s">
        <v>11</v>
      </c>
      <c r="C19" s="13"/>
      <c r="D19" s="13"/>
      <c r="E19" s="13"/>
      <c r="F19" s="13"/>
      <c r="G19" s="13"/>
      <c r="H19" s="13"/>
      <c r="I19" s="13"/>
    </row>
    <row r="22" spans="1:9">
      <c r="A22" s="6" t="s">
        <v>12</v>
      </c>
      <c r="B22" s="13" t="s">
        <v>13</v>
      </c>
      <c r="C22" s="13"/>
      <c r="D22" s="13"/>
      <c r="E22" s="13"/>
      <c r="F22" s="13"/>
      <c r="G22" s="13"/>
      <c r="H22" s="13"/>
      <c r="I22" s="13"/>
    </row>
    <row r="25" spans="1:9">
      <c r="A25" s="6" t="s">
        <v>14</v>
      </c>
      <c r="B25" s="13" t="s">
        <v>15</v>
      </c>
      <c r="C25" s="13"/>
      <c r="D25" s="13"/>
      <c r="E25" s="13"/>
      <c r="F25" s="13"/>
      <c r="G25" s="13"/>
      <c r="H25" s="13"/>
      <c r="I25" s="13"/>
    </row>
    <row r="28" spans="1:9">
      <c r="A28" s="6" t="s">
        <v>16</v>
      </c>
      <c r="B28" s="13" t="s">
        <v>17</v>
      </c>
      <c r="C28" s="13"/>
      <c r="D28" s="13"/>
      <c r="E28" s="13"/>
      <c r="F28" s="13"/>
      <c r="G28" s="13"/>
      <c r="H28" s="13"/>
      <c r="I28" s="13"/>
    </row>
    <row r="31" spans="1:9">
      <c r="A31" s="6" t="s">
        <v>18</v>
      </c>
      <c r="B31" s="13" t="s">
        <v>19</v>
      </c>
      <c r="C31" s="13"/>
      <c r="D31" s="13"/>
      <c r="E31" s="13"/>
      <c r="F31" s="13"/>
      <c r="G31" s="13"/>
      <c r="H31" s="13"/>
      <c r="I31" s="13"/>
    </row>
    <row r="34" spans="1:9">
      <c r="A34" s="6" t="s">
        <v>20</v>
      </c>
      <c r="B34" s="13" t="s">
        <v>21</v>
      </c>
      <c r="C34" s="13"/>
      <c r="D34" s="13"/>
      <c r="E34" s="13"/>
      <c r="F34" s="13"/>
      <c r="G34" s="13"/>
      <c r="H34" s="13"/>
      <c r="I34" s="13"/>
    </row>
    <row r="37" spans="1:9">
      <c r="A37" s="6" t="s">
        <v>22</v>
      </c>
      <c r="B37" s="13" t="s">
        <v>23</v>
      </c>
      <c r="C37" s="13"/>
      <c r="D37" s="13"/>
      <c r="E37" s="13"/>
      <c r="F37" s="13"/>
      <c r="G37" s="13"/>
      <c r="H37" s="13"/>
      <c r="I37" s="13"/>
    </row>
    <row r="40" spans="1:9">
      <c r="A40" s="6" t="s">
        <v>24</v>
      </c>
      <c r="B40" s="13" t="s">
        <v>25</v>
      </c>
      <c r="C40" s="13"/>
      <c r="D40" s="13"/>
      <c r="E40" s="13"/>
      <c r="F40" s="13"/>
      <c r="G40" s="13"/>
      <c r="H40" s="13"/>
      <c r="I40" s="13"/>
    </row>
    <row r="43" spans="1:9">
      <c r="A43" s="6" t="s">
        <v>26</v>
      </c>
      <c r="B43" s="13" t="s">
        <v>27</v>
      </c>
      <c r="C43" s="13"/>
      <c r="D43" s="13"/>
      <c r="E43" s="13"/>
      <c r="F43" s="13"/>
      <c r="G43" s="13"/>
      <c r="H43" s="13"/>
      <c r="I43" s="13"/>
    </row>
    <row r="46" spans="1:9">
      <c r="A46" s="6" t="s">
        <v>28</v>
      </c>
      <c r="B46" s="13" t="s">
        <v>29</v>
      </c>
      <c r="C46" s="13"/>
      <c r="D46" s="13"/>
      <c r="E46" s="13"/>
      <c r="F46" s="13"/>
      <c r="G46" s="13"/>
      <c r="H46" s="13"/>
      <c r="I46" s="13"/>
    </row>
    <row r="49" spans="1:9">
      <c r="A49" s="6" t="s">
        <v>30</v>
      </c>
      <c r="B49" s="13" t="s">
        <v>31</v>
      </c>
      <c r="C49" s="13"/>
      <c r="D49" s="13"/>
      <c r="E49" s="13"/>
      <c r="F49" s="13"/>
      <c r="G49" s="13"/>
      <c r="H49" s="13"/>
      <c r="I49" s="13"/>
    </row>
    <row r="52" spans="1:9">
      <c r="A52" s="7" t="s">
        <v>32</v>
      </c>
      <c r="B52" s="13" t="s">
        <v>33</v>
      </c>
      <c r="C52" s="13"/>
      <c r="D52" s="13"/>
      <c r="E52" s="13"/>
      <c r="F52" s="13"/>
      <c r="G52" s="13"/>
      <c r="H52" s="13"/>
      <c r="I52" s="13"/>
    </row>
    <row r="53" spans="1:9">
      <c r="A53" s="2"/>
      <c r="B53" s="2"/>
      <c r="C53" s="2"/>
      <c r="D53" s="11" t="s">
        <v>74</v>
      </c>
      <c r="E53" s="10"/>
      <c r="F53" s="10"/>
      <c r="G53" s="12"/>
      <c r="H53" s="10" t="s">
        <v>91</v>
      </c>
      <c r="I53" s="9"/>
    </row>
    <row r="56" spans="1:9">
      <c r="A56" s="7" t="s">
        <v>34</v>
      </c>
      <c r="B56" s="13" t="s">
        <v>35</v>
      </c>
      <c r="C56" s="13"/>
      <c r="D56" s="13"/>
      <c r="E56" s="13"/>
      <c r="F56" s="13"/>
      <c r="G56" s="13"/>
      <c r="H56" s="13"/>
      <c r="I56" s="13"/>
    </row>
    <row r="57" spans="1:9">
      <c r="C57" s="2"/>
      <c r="D57" s="11" t="s">
        <v>74</v>
      </c>
      <c r="E57" s="10"/>
      <c r="F57" s="10"/>
      <c r="G57" s="12"/>
      <c r="H57" s="10" t="s">
        <v>91</v>
      </c>
      <c r="I57" s="9"/>
    </row>
    <row r="60" spans="1:9">
      <c r="A60" s="7" t="s">
        <v>36</v>
      </c>
      <c r="B60" s="13" t="s">
        <v>37</v>
      </c>
      <c r="C60" s="13"/>
      <c r="D60" s="13"/>
      <c r="E60" s="13"/>
      <c r="F60" s="13"/>
      <c r="G60" s="13"/>
      <c r="H60" s="13"/>
      <c r="I60" s="13"/>
    </row>
    <row r="61" spans="1:9">
      <c r="D61" s="11" t="s">
        <v>74</v>
      </c>
      <c r="E61" s="10"/>
      <c r="F61" s="10"/>
      <c r="G61" s="12"/>
      <c r="H61" s="10" t="s">
        <v>91</v>
      </c>
      <c r="I61" s="9"/>
    </row>
    <row r="64" spans="1:9">
      <c r="A64" s="7" t="s">
        <v>38</v>
      </c>
      <c r="B64" s="13" t="s">
        <v>39</v>
      </c>
      <c r="C64" s="13"/>
      <c r="D64" s="13"/>
      <c r="E64" s="13"/>
      <c r="F64" s="13"/>
      <c r="G64" s="13"/>
      <c r="H64" s="13"/>
      <c r="I64" s="13"/>
    </row>
    <row r="65" spans="1:9">
      <c r="D65" s="11" t="s">
        <v>74</v>
      </c>
      <c r="E65" s="10"/>
      <c r="F65" s="10"/>
      <c r="G65" s="12"/>
      <c r="H65" s="10" t="s">
        <v>91</v>
      </c>
      <c r="I65" s="9"/>
    </row>
    <row r="68" spans="1:9">
      <c r="A68" s="7" t="s">
        <v>40</v>
      </c>
      <c r="B68" s="13" t="s">
        <v>41</v>
      </c>
      <c r="C68" s="13"/>
      <c r="D68" s="13"/>
      <c r="E68" s="13"/>
      <c r="F68" s="13"/>
      <c r="G68" s="13"/>
      <c r="H68" s="13"/>
      <c r="I68" s="13"/>
    </row>
    <row r="69" spans="1:9">
      <c r="D69" s="11" t="s">
        <v>74</v>
      </c>
      <c r="E69" s="10"/>
      <c r="F69" s="10"/>
      <c r="G69" s="12"/>
      <c r="H69" s="10" t="s">
        <v>91</v>
      </c>
      <c r="I69" s="9"/>
    </row>
    <row r="72" spans="1:9">
      <c r="A72" s="7" t="s">
        <v>42</v>
      </c>
      <c r="B72" s="13" t="s">
        <v>43</v>
      </c>
      <c r="C72" s="13"/>
      <c r="D72" s="13"/>
      <c r="E72" s="13"/>
      <c r="F72" s="13"/>
      <c r="G72" s="13"/>
      <c r="H72" s="13"/>
      <c r="I72" s="13"/>
    </row>
    <row r="73" spans="1:9">
      <c r="D73" s="11" t="s">
        <v>74</v>
      </c>
      <c r="E73" s="10"/>
      <c r="F73" s="10"/>
      <c r="G73" s="12"/>
      <c r="H73" s="10" t="s">
        <v>91</v>
      </c>
      <c r="I73" s="9"/>
    </row>
    <row r="76" spans="1:9">
      <c r="A76" s="7" t="s">
        <v>44</v>
      </c>
      <c r="B76" s="13" t="s">
        <v>45</v>
      </c>
      <c r="C76" s="13"/>
      <c r="D76" s="13"/>
      <c r="E76" s="13"/>
      <c r="F76" s="13"/>
      <c r="G76" s="13"/>
      <c r="H76" s="13"/>
      <c r="I76" s="13"/>
    </row>
    <row r="77" spans="1:9">
      <c r="D77" s="11" t="s">
        <v>74</v>
      </c>
      <c r="E77" s="10"/>
      <c r="F77" s="10"/>
      <c r="G77" s="12"/>
      <c r="H77" s="10" t="s">
        <v>91</v>
      </c>
      <c r="I77" s="9"/>
    </row>
    <row r="80" spans="1:9">
      <c r="A80" s="7" t="s">
        <v>46</v>
      </c>
      <c r="B80" s="13" t="s">
        <v>47</v>
      </c>
      <c r="C80" s="13"/>
      <c r="D80" s="13"/>
      <c r="E80" s="13"/>
      <c r="F80" s="13"/>
      <c r="G80" s="13"/>
      <c r="H80" s="13"/>
      <c r="I80" s="13"/>
    </row>
    <row r="81" spans="1:9">
      <c r="D81" s="11" t="s">
        <v>74</v>
      </c>
      <c r="E81" s="10"/>
      <c r="F81" s="10"/>
      <c r="G81" s="12"/>
      <c r="H81" s="10" t="s">
        <v>91</v>
      </c>
      <c r="I81" s="9"/>
    </row>
    <row r="84" spans="1:9">
      <c r="A84" s="6" t="s">
        <v>48</v>
      </c>
      <c r="B84" s="13" t="s">
        <v>49</v>
      </c>
      <c r="C84" s="13"/>
      <c r="D84" s="13"/>
      <c r="E84" s="13"/>
      <c r="F84" s="13"/>
      <c r="G84" s="13"/>
      <c r="H84" s="13"/>
      <c r="I84" s="13"/>
    </row>
    <row r="87" spans="1:9">
      <c r="A87" s="7" t="s">
        <v>50</v>
      </c>
      <c r="B87" s="13" t="s">
        <v>51</v>
      </c>
      <c r="C87" s="13"/>
      <c r="D87" s="13"/>
      <c r="E87" s="13"/>
      <c r="F87" s="13"/>
      <c r="G87" s="13"/>
      <c r="H87" s="13"/>
      <c r="I87" s="13"/>
    </row>
    <row r="88" spans="1:9">
      <c r="D88" s="11" t="s">
        <v>74</v>
      </c>
      <c r="E88" s="10"/>
      <c r="F88" s="10"/>
      <c r="G88" s="12"/>
      <c r="H88" s="10" t="s">
        <v>91</v>
      </c>
      <c r="I88" s="9"/>
    </row>
    <row r="91" spans="1:9">
      <c r="A91" s="7" t="s">
        <v>52</v>
      </c>
      <c r="B91" s="13" t="s">
        <v>53</v>
      </c>
      <c r="C91" s="13"/>
      <c r="D91" s="13"/>
      <c r="E91" s="13"/>
      <c r="F91" s="13"/>
      <c r="G91" s="13"/>
      <c r="H91" s="13"/>
      <c r="I91" s="13"/>
    </row>
    <row r="92" spans="1:9">
      <c r="D92" s="11" t="s">
        <v>74</v>
      </c>
      <c r="E92" s="10"/>
      <c r="F92" s="10"/>
      <c r="G92" s="12"/>
      <c r="H92" s="10" t="s">
        <v>91</v>
      </c>
      <c r="I92" s="9"/>
    </row>
    <row r="95" spans="1:9">
      <c r="A95" s="7" t="s">
        <v>54</v>
      </c>
      <c r="B95" s="13" t="s">
        <v>55</v>
      </c>
      <c r="C95" s="13"/>
      <c r="D95" s="13"/>
      <c r="E95" s="13"/>
      <c r="F95" s="13"/>
      <c r="G95" s="13"/>
      <c r="H95" s="13"/>
      <c r="I95" s="13"/>
    </row>
    <row r="96" spans="1:9">
      <c r="D96" s="11" t="s">
        <v>74</v>
      </c>
      <c r="E96" s="10"/>
      <c r="F96" s="10"/>
      <c r="G96" s="12"/>
      <c r="H96" s="10" t="s">
        <v>91</v>
      </c>
      <c r="I96" s="9"/>
    </row>
    <row r="99" spans="1:9">
      <c r="A99" s="6" t="s">
        <v>56</v>
      </c>
      <c r="B99" s="13" t="s">
        <v>57</v>
      </c>
      <c r="C99" s="13"/>
      <c r="D99" s="13"/>
      <c r="E99" s="13"/>
      <c r="F99" s="13"/>
      <c r="G99" s="13"/>
      <c r="H99" s="13"/>
      <c r="I99" s="13"/>
    </row>
    <row r="102" spans="1:9">
      <c r="A102" s="7" t="s">
        <v>58</v>
      </c>
      <c r="B102" s="13" t="s">
        <v>59</v>
      </c>
      <c r="C102" s="13"/>
      <c r="D102" s="13"/>
      <c r="E102" s="13"/>
      <c r="F102" s="13"/>
      <c r="G102" s="13"/>
      <c r="H102" s="13"/>
      <c r="I102" s="13"/>
    </row>
    <row r="103" spans="1:9">
      <c r="D103" s="11" t="s">
        <v>74</v>
      </c>
      <c r="E103" s="10"/>
      <c r="F103" s="10"/>
      <c r="G103" s="12"/>
      <c r="H103" s="10" t="s">
        <v>91</v>
      </c>
      <c r="I103" s="9"/>
    </row>
    <row r="106" spans="1:9">
      <c r="A106" s="7" t="s">
        <v>60</v>
      </c>
      <c r="B106" s="13" t="s">
        <v>61</v>
      </c>
      <c r="C106" s="13"/>
      <c r="D106" s="13"/>
      <c r="E106" s="13"/>
      <c r="F106" s="13"/>
      <c r="G106" s="13"/>
      <c r="H106" s="13"/>
      <c r="I106" s="13"/>
    </row>
    <row r="107" spans="1:9">
      <c r="D107" s="11" t="s">
        <v>74</v>
      </c>
      <c r="E107" s="10"/>
      <c r="F107" s="10"/>
      <c r="G107" s="12"/>
      <c r="H107" s="10" t="s">
        <v>91</v>
      </c>
      <c r="I107" s="9"/>
    </row>
    <row r="110" spans="1:9">
      <c r="A110" s="7" t="s">
        <v>62</v>
      </c>
      <c r="B110" s="13" t="s">
        <v>63</v>
      </c>
      <c r="C110" s="13"/>
      <c r="D110" s="13"/>
      <c r="E110" s="13"/>
      <c r="F110" s="13"/>
      <c r="G110" s="13"/>
      <c r="H110" s="13"/>
      <c r="I110" s="13"/>
    </row>
    <row r="111" spans="1:9">
      <c r="D111" s="11" t="s">
        <v>74</v>
      </c>
      <c r="E111" s="10"/>
      <c r="F111" s="10"/>
      <c r="G111" s="12"/>
      <c r="H111" s="10" t="s">
        <v>91</v>
      </c>
      <c r="I111" s="9"/>
    </row>
    <row r="114" spans="1:9">
      <c r="A114" s="7" t="s">
        <v>64</v>
      </c>
      <c r="B114" s="13" t="s">
        <v>65</v>
      </c>
      <c r="C114" s="13"/>
      <c r="D114" s="13"/>
      <c r="E114" s="13"/>
      <c r="F114" s="13"/>
      <c r="G114" s="13"/>
      <c r="H114" s="13"/>
      <c r="I114" s="13"/>
    </row>
    <row r="115" spans="1:9">
      <c r="D115" s="11" t="s">
        <v>74</v>
      </c>
      <c r="E115" s="10"/>
      <c r="F115" s="10"/>
      <c r="G115" s="12"/>
      <c r="H115" s="10" t="s">
        <v>91</v>
      </c>
      <c r="I115" s="9"/>
    </row>
    <row r="118" spans="1:9">
      <c r="A118" s="6" t="s">
        <v>66</v>
      </c>
      <c r="B118" s="13" t="s">
        <v>67</v>
      </c>
      <c r="C118" s="13"/>
      <c r="D118" s="13"/>
      <c r="E118" s="13"/>
      <c r="F118" s="13"/>
      <c r="G118" s="13"/>
      <c r="H118" s="13"/>
      <c r="I118" s="13"/>
    </row>
    <row r="121" spans="1:9">
      <c r="A121" s="6" t="s">
        <v>68</v>
      </c>
      <c r="B121" s="13" t="s">
        <v>69</v>
      </c>
      <c r="C121" s="13"/>
      <c r="D121" s="13"/>
      <c r="E121" s="13"/>
      <c r="F121" s="13"/>
      <c r="G121" s="13"/>
      <c r="H121" s="13"/>
      <c r="I121" s="13"/>
    </row>
    <row r="124" spans="1:9">
      <c r="A124" s="6" t="s">
        <v>77</v>
      </c>
      <c r="B124" s="13" t="s">
        <v>78</v>
      </c>
      <c r="C124" s="13"/>
      <c r="D124" s="13"/>
      <c r="E124" s="13"/>
      <c r="F124" s="13"/>
      <c r="G124" s="13"/>
      <c r="H124" s="13"/>
      <c r="I124" s="13"/>
    </row>
    <row r="127" spans="1:9">
      <c r="A127" s="7" t="s">
        <v>79</v>
      </c>
      <c r="B127" s="13" t="s">
        <v>80</v>
      </c>
      <c r="C127" s="13"/>
      <c r="D127" s="13"/>
      <c r="E127" s="13"/>
      <c r="F127" s="13"/>
      <c r="G127" s="13"/>
      <c r="H127" s="13"/>
      <c r="I127" s="13"/>
    </row>
    <row r="130" spans="1:9">
      <c r="A130" s="8" t="s">
        <v>94</v>
      </c>
      <c r="B130" s="13" t="s">
        <v>93</v>
      </c>
      <c r="C130" s="13"/>
      <c r="D130" s="13"/>
      <c r="E130" s="13"/>
      <c r="F130" s="13"/>
      <c r="G130" s="13"/>
      <c r="H130" s="13"/>
      <c r="I130" s="13"/>
    </row>
    <row r="131" spans="1:9">
      <c r="D131" s="11" t="s">
        <v>74</v>
      </c>
      <c r="E131" s="10"/>
      <c r="F131" s="10"/>
      <c r="G131" s="12"/>
      <c r="H131" s="10" t="s">
        <v>91</v>
      </c>
      <c r="I131" s="9"/>
    </row>
    <row r="134" spans="1:9">
      <c r="A134" s="6" t="s">
        <v>81</v>
      </c>
      <c r="B134" s="13" t="s">
        <v>82</v>
      </c>
      <c r="C134" s="13"/>
      <c r="D134" s="13"/>
      <c r="E134" s="13"/>
      <c r="F134" s="13"/>
      <c r="G134" s="13"/>
      <c r="H134" s="13"/>
      <c r="I134" s="13"/>
    </row>
    <row r="137" spans="1:9">
      <c r="A137" s="6" t="s">
        <v>83</v>
      </c>
      <c r="B137" s="13" t="s">
        <v>84</v>
      </c>
      <c r="C137" s="13"/>
      <c r="D137" s="13"/>
      <c r="E137" s="13"/>
      <c r="F137" s="13"/>
      <c r="G137" s="13"/>
      <c r="H137" s="13"/>
      <c r="I137" s="13"/>
    </row>
    <row r="140" spans="1:9">
      <c r="A140" s="7" t="s">
        <v>85</v>
      </c>
      <c r="B140" s="13" t="s">
        <v>86</v>
      </c>
      <c r="C140" s="13"/>
      <c r="D140" s="13"/>
      <c r="E140" s="13"/>
      <c r="F140" s="13"/>
      <c r="G140" s="13"/>
      <c r="H140" s="13"/>
      <c r="I140" s="13"/>
    </row>
    <row r="141" spans="1:9">
      <c r="D141" s="11" t="s">
        <v>74</v>
      </c>
      <c r="E141" s="10"/>
      <c r="F141" s="10"/>
      <c r="G141" s="12"/>
      <c r="H141" s="10" t="s">
        <v>91</v>
      </c>
      <c r="I141" s="9"/>
    </row>
    <row r="144" spans="1:9">
      <c r="A144" s="7" t="s">
        <v>87</v>
      </c>
      <c r="B144" s="13" t="s">
        <v>88</v>
      </c>
      <c r="C144" s="13"/>
      <c r="D144" s="13"/>
      <c r="E144" s="13"/>
      <c r="F144" s="13"/>
      <c r="G144" s="13"/>
      <c r="H144" s="13"/>
      <c r="I144" s="13"/>
    </row>
    <row r="145" spans="1:9">
      <c r="D145" s="11" t="s">
        <v>74</v>
      </c>
      <c r="E145" s="10"/>
      <c r="F145" s="10"/>
      <c r="G145" s="12"/>
      <c r="H145" s="10" t="s">
        <v>91</v>
      </c>
      <c r="I145" s="9"/>
    </row>
    <row r="148" spans="1:9" s="2" customFormat="1">
      <c r="A148" s="81" t="s">
        <v>121</v>
      </c>
      <c r="B148" s="82" t="s">
        <v>122</v>
      </c>
      <c r="C148" s="83"/>
      <c r="D148" s="84"/>
      <c r="E148" s="85"/>
      <c r="F148" s="86"/>
      <c r="G148" s="87"/>
      <c r="H148" s="88"/>
      <c r="I148" s="89"/>
    </row>
    <row r="149" spans="1:9" s="2" customFormat="1"/>
    <row r="150" spans="1:9" s="2" customFormat="1"/>
    <row r="151" spans="1:9" s="2" customFormat="1">
      <c r="A151" s="81" t="s">
        <v>123</v>
      </c>
      <c r="B151" s="82" t="s">
        <v>124</v>
      </c>
      <c r="C151" s="83"/>
      <c r="D151" s="84"/>
      <c r="E151" s="85"/>
      <c r="F151" s="86"/>
      <c r="G151" s="87"/>
      <c r="H151" s="88"/>
      <c r="I151" s="89"/>
    </row>
    <row r="152" spans="1:9" s="2" customFormat="1">
      <c r="A152" s="90"/>
      <c r="B152" s="91"/>
      <c r="C152" s="92"/>
      <c r="D152" s="93" t="s">
        <v>74</v>
      </c>
      <c r="E152" s="94"/>
      <c r="F152" s="95"/>
      <c r="G152" s="96" t="s">
        <v>91</v>
      </c>
      <c r="H152" s="97"/>
      <c r="I152" s="98"/>
    </row>
    <row r="153" spans="1:9" s="2" customFormat="1"/>
    <row r="154" spans="1:9" s="2" customFormat="1"/>
    <row r="155" spans="1:9" s="2" customFormat="1">
      <c r="A155" s="81" t="s">
        <v>125</v>
      </c>
      <c r="B155" s="82" t="s">
        <v>126</v>
      </c>
      <c r="C155" s="83"/>
      <c r="D155" s="84"/>
      <c r="E155" s="85"/>
      <c r="F155" s="86"/>
      <c r="G155" s="87"/>
      <c r="H155" s="88"/>
      <c r="I155" s="89"/>
    </row>
    <row r="156" spans="1:9" s="2" customFormat="1"/>
    <row r="157" spans="1:9" s="2" customFormat="1"/>
    <row r="158" spans="1:9" s="2" customFormat="1">
      <c r="A158" s="81" t="s">
        <v>127</v>
      </c>
      <c r="B158" s="82" t="s">
        <v>128</v>
      </c>
      <c r="C158" s="83"/>
      <c r="D158" s="84"/>
      <c r="E158" s="85"/>
      <c r="F158" s="86"/>
      <c r="G158" s="87"/>
      <c r="H158" s="88"/>
      <c r="I158" s="89"/>
    </row>
    <row r="159" spans="1:9" s="2" customFormat="1">
      <c r="A159" s="90"/>
      <c r="B159" s="91"/>
      <c r="C159" s="92"/>
      <c r="D159" s="93" t="s">
        <v>74</v>
      </c>
      <c r="E159" s="94"/>
      <c r="F159" s="95"/>
      <c r="G159" s="96" t="s">
        <v>91</v>
      </c>
      <c r="H159" s="97"/>
      <c r="I159" s="98"/>
    </row>
    <row r="160" spans="1:9" s="2" customFormat="1"/>
    <row r="161" spans="1:9" s="2" customFormat="1"/>
    <row r="162" spans="1:9" s="2" customFormat="1">
      <c r="A162" s="81" t="s">
        <v>129</v>
      </c>
      <c r="B162" s="82" t="s">
        <v>130</v>
      </c>
      <c r="C162" s="83"/>
      <c r="D162" s="84"/>
      <c r="E162" s="85"/>
      <c r="F162" s="86"/>
      <c r="G162" s="87"/>
      <c r="H162" s="88"/>
      <c r="I162" s="89"/>
    </row>
    <row r="163" spans="1:9" s="2" customFormat="1"/>
    <row r="164" spans="1:9" s="2" customFormat="1"/>
    <row r="165" spans="1:9" s="2" customFormat="1">
      <c r="A165" s="81" t="s">
        <v>131</v>
      </c>
      <c r="B165" s="82" t="s">
        <v>132</v>
      </c>
      <c r="C165" s="83"/>
      <c r="D165" s="84"/>
      <c r="E165" s="85"/>
      <c r="F165" s="86"/>
      <c r="G165" s="87"/>
      <c r="H165" s="88"/>
      <c r="I165" s="89"/>
    </row>
    <row r="166" spans="1:9" s="2" customFormat="1"/>
    <row r="167" spans="1:9" s="2" customFormat="1"/>
    <row r="168" spans="1:9" s="2" customFormat="1">
      <c r="A168" s="81" t="s">
        <v>133</v>
      </c>
      <c r="B168" s="82" t="s">
        <v>134</v>
      </c>
      <c r="C168" s="83"/>
      <c r="D168" s="84"/>
      <c r="E168" s="85"/>
      <c r="F168" s="86"/>
      <c r="G168" s="87"/>
      <c r="H168" s="88"/>
      <c r="I168" s="89"/>
    </row>
    <row r="169" spans="1:9" s="2" customFormat="1">
      <c r="A169" s="90"/>
      <c r="B169" s="91"/>
      <c r="C169" s="92"/>
      <c r="D169" s="93" t="s">
        <v>74</v>
      </c>
      <c r="E169" s="94"/>
      <c r="F169" s="95"/>
      <c r="G169" s="96" t="s">
        <v>91</v>
      </c>
      <c r="H169" s="97"/>
      <c r="I169" s="98"/>
    </row>
    <row r="170" spans="1:9" s="2" customFormat="1"/>
    <row r="171" spans="1:9" s="2" customFormat="1"/>
    <row r="172" spans="1:9" s="2" customFormat="1">
      <c r="A172" s="81" t="s">
        <v>135</v>
      </c>
      <c r="B172" s="82" t="s">
        <v>136</v>
      </c>
      <c r="C172" s="83"/>
      <c r="D172" s="84"/>
      <c r="E172" s="85"/>
      <c r="F172" s="86"/>
      <c r="G172" s="87"/>
      <c r="H172" s="88"/>
      <c r="I172" s="89"/>
    </row>
    <row r="173" spans="1:9" s="2" customFormat="1">
      <c r="A173" s="90"/>
      <c r="B173" s="91"/>
      <c r="C173" s="92"/>
      <c r="D173" s="93" t="s">
        <v>74</v>
      </c>
      <c r="E173" s="94"/>
      <c r="F173" s="95"/>
      <c r="G173" s="96" t="s">
        <v>91</v>
      </c>
      <c r="H173" s="97"/>
      <c r="I173" s="98"/>
    </row>
    <row r="174" spans="1:9" s="2" customFormat="1"/>
    <row r="175" spans="1:9" s="2" customFormat="1"/>
    <row r="176" spans="1:9" s="2" customFormat="1">
      <c r="A176" s="81" t="s">
        <v>137</v>
      </c>
      <c r="B176" s="82" t="s">
        <v>138</v>
      </c>
      <c r="C176" s="83"/>
      <c r="D176" s="84"/>
      <c r="E176" s="85"/>
      <c r="F176" s="86"/>
      <c r="G176" s="87"/>
      <c r="H176" s="88"/>
      <c r="I176" s="89"/>
    </row>
    <row r="177" spans="1:9" s="2" customFormat="1"/>
    <row r="178" spans="1:9" s="2" customFormat="1"/>
    <row r="179" spans="1:9" s="2" customFormat="1">
      <c r="A179" s="81" t="s">
        <v>139</v>
      </c>
      <c r="B179" s="82" t="s">
        <v>140</v>
      </c>
      <c r="C179" s="83"/>
      <c r="D179" s="84"/>
      <c r="E179" s="85"/>
      <c r="F179" s="86"/>
      <c r="G179" s="87"/>
      <c r="H179" s="88"/>
      <c r="I179" s="89"/>
    </row>
    <row r="180" spans="1:9" s="2" customFormat="1"/>
    <row r="181" spans="1:9" s="2" customFormat="1"/>
    <row r="182" spans="1:9" s="2" customFormat="1">
      <c r="A182" s="81" t="s">
        <v>141</v>
      </c>
      <c r="B182" s="82" t="s">
        <v>142</v>
      </c>
      <c r="C182" s="83"/>
      <c r="D182" s="84"/>
      <c r="E182" s="85"/>
      <c r="F182" s="86"/>
      <c r="G182" s="87"/>
      <c r="H182" s="88"/>
      <c r="I182" s="89"/>
    </row>
    <row r="183" spans="1:9" s="2" customFormat="1"/>
    <row r="184" spans="1:9" s="2" customFormat="1"/>
    <row r="185" spans="1:9" s="2" customFormat="1">
      <c r="A185" s="81" t="s">
        <v>143</v>
      </c>
      <c r="B185" s="82" t="s">
        <v>144</v>
      </c>
      <c r="C185" s="83"/>
      <c r="D185" s="84"/>
      <c r="E185" s="85"/>
      <c r="F185" s="86"/>
      <c r="G185" s="87"/>
      <c r="H185" s="88"/>
      <c r="I185" s="89"/>
    </row>
    <row r="186" spans="1:9" s="2" customFormat="1"/>
    <row r="187" spans="1:9" s="2" customFormat="1"/>
    <row r="188" spans="1:9" s="2" customFormat="1">
      <c r="A188" s="81" t="s">
        <v>145</v>
      </c>
      <c r="B188" s="82" t="s">
        <v>146</v>
      </c>
      <c r="C188" s="83"/>
      <c r="D188" s="84"/>
      <c r="E188" s="85"/>
      <c r="F188" s="86"/>
      <c r="G188" s="87"/>
      <c r="H188" s="88"/>
      <c r="I188" s="89"/>
    </row>
    <row r="189" spans="1:9" s="2" customFormat="1"/>
    <row r="190" spans="1:9" s="2" customFormat="1"/>
    <row r="191" spans="1:9" s="2" customFormat="1">
      <c r="A191" s="81" t="s">
        <v>147</v>
      </c>
      <c r="B191" s="82" t="s">
        <v>148</v>
      </c>
      <c r="C191" s="83"/>
      <c r="D191" s="84"/>
      <c r="E191" s="85"/>
      <c r="F191" s="86"/>
      <c r="G191" s="87"/>
      <c r="H191" s="88"/>
      <c r="I191" s="89"/>
    </row>
    <row r="192" spans="1:9" s="2" customFormat="1"/>
    <row r="193" spans="1:9" s="2" customFormat="1"/>
    <row r="194" spans="1:9" s="2" customFormat="1">
      <c r="A194" s="81" t="s">
        <v>149</v>
      </c>
      <c r="B194" s="82" t="s">
        <v>150</v>
      </c>
      <c r="C194" s="83"/>
      <c r="D194" s="84"/>
      <c r="E194" s="85"/>
      <c r="F194" s="86"/>
      <c r="G194" s="87"/>
      <c r="H194" s="88"/>
      <c r="I194" s="89"/>
    </row>
    <row r="195" spans="1:9" s="2" customFormat="1"/>
    <row r="196" spans="1:9" s="2" customFormat="1"/>
    <row r="197" spans="1:9" s="2" customFormat="1">
      <c r="A197" s="81" t="s">
        <v>151</v>
      </c>
      <c r="B197" s="82" t="s">
        <v>450</v>
      </c>
      <c r="C197" s="83"/>
      <c r="D197" s="84"/>
      <c r="E197" s="85"/>
      <c r="F197" s="86"/>
      <c r="G197" s="87"/>
      <c r="H197" s="88"/>
      <c r="I197" s="89"/>
    </row>
    <row r="198" spans="1:9" s="2" customFormat="1">
      <c r="A198" s="90"/>
      <c r="B198" s="91"/>
      <c r="C198" s="92"/>
      <c r="D198" s="93" t="s">
        <v>74</v>
      </c>
      <c r="E198" s="94"/>
      <c r="F198" s="95"/>
      <c r="G198" s="96" t="s">
        <v>92</v>
      </c>
      <c r="H198" s="97"/>
      <c r="I198" s="98"/>
    </row>
    <row r="199" spans="1:9" s="2" customFormat="1"/>
    <row r="200" spans="1:9" s="2" customFormat="1"/>
    <row r="201" spans="1:9" s="2" customFormat="1">
      <c r="A201" s="81" t="s">
        <v>152</v>
      </c>
      <c r="B201" s="82" t="s">
        <v>153</v>
      </c>
      <c r="C201" s="83"/>
      <c r="D201" s="84"/>
      <c r="E201" s="85"/>
      <c r="F201" s="86"/>
      <c r="G201" s="87"/>
      <c r="H201" s="88"/>
      <c r="I201" s="89"/>
    </row>
    <row r="202" spans="1:9" s="2" customFormat="1">
      <c r="A202" s="90"/>
      <c r="B202" s="91"/>
      <c r="C202" s="92"/>
      <c r="D202" s="93" t="s">
        <v>74</v>
      </c>
      <c r="E202" s="94"/>
      <c r="F202" s="95"/>
      <c r="G202" s="96" t="s">
        <v>91</v>
      </c>
      <c r="H202" s="97"/>
      <c r="I202" s="98"/>
    </row>
    <row r="203" spans="1:9" s="2" customFormat="1"/>
    <row r="204" spans="1:9" s="2" customFormat="1"/>
    <row r="205" spans="1:9" s="2" customFormat="1">
      <c r="A205" s="81" t="s">
        <v>154</v>
      </c>
      <c r="B205" s="82" t="s">
        <v>155</v>
      </c>
      <c r="C205" s="83"/>
      <c r="D205" s="84"/>
      <c r="E205" s="85"/>
      <c r="F205" s="86"/>
      <c r="G205" s="87"/>
      <c r="H205" s="88"/>
      <c r="I205" s="89"/>
    </row>
    <row r="206" spans="1:9" s="2" customFormat="1"/>
    <row r="207" spans="1:9" s="2" customFormat="1"/>
    <row r="208" spans="1:9" s="2" customFormat="1">
      <c r="A208" s="81" t="s">
        <v>156</v>
      </c>
      <c r="B208" s="82" t="s">
        <v>157</v>
      </c>
      <c r="C208" s="83"/>
      <c r="D208" s="84"/>
      <c r="E208" s="85"/>
      <c r="F208" s="86"/>
      <c r="G208" s="87"/>
      <c r="H208" s="88"/>
      <c r="I208" s="89"/>
    </row>
    <row r="209" spans="1:9" s="2" customFormat="1"/>
    <row r="210" spans="1:9" s="2" customFormat="1"/>
    <row r="211" spans="1:9" s="2" customFormat="1">
      <c r="A211" s="81" t="s">
        <v>158</v>
      </c>
      <c r="B211" s="82" t="s">
        <v>159</v>
      </c>
      <c r="C211" s="83"/>
      <c r="D211" s="84"/>
      <c r="E211" s="85"/>
      <c r="F211" s="86"/>
      <c r="G211" s="87"/>
      <c r="H211" s="88"/>
      <c r="I211" s="89"/>
    </row>
    <row r="212" spans="1:9" s="2" customFormat="1">
      <c r="A212" s="99"/>
      <c r="B212" s="100" t="s">
        <v>70</v>
      </c>
      <c r="C212" s="101"/>
      <c r="D212" s="102" t="s">
        <v>89</v>
      </c>
      <c r="E212" s="103" t="s">
        <v>160</v>
      </c>
      <c r="F212" s="104" t="s">
        <v>161</v>
      </c>
      <c r="G212" s="105" t="s">
        <v>71</v>
      </c>
      <c r="H212" s="106"/>
      <c r="I212" s="107" t="s">
        <v>72</v>
      </c>
    </row>
    <row r="213" spans="1:9" s="2" customFormat="1">
      <c r="A213" s="108"/>
      <c r="B213" s="109"/>
      <c r="C213" s="110"/>
      <c r="D213" s="111"/>
      <c r="E213" s="112"/>
      <c r="F213" s="113"/>
      <c r="G213" s="114"/>
      <c r="H213" s="115"/>
      <c r="I213" s="116">
        <f t="shared" ref="I213:I224" si="0">ROUND(PRODUCT(ROUND(PRODUCT(D213,E213,F213),3),G213,H213),3)</f>
        <v>0</v>
      </c>
    </row>
    <row r="214" spans="1:9" customFormat="1">
      <c r="A214" s="129"/>
      <c r="B214" s="130" t="s">
        <v>399</v>
      </c>
      <c r="C214" s="131" t="s">
        <v>400</v>
      </c>
      <c r="D214" s="132">
        <v>1</v>
      </c>
      <c r="E214" s="133">
        <v>0.2</v>
      </c>
      <c r="F214" s="134">
        <v>2.5</v>
      </c>
      <c r="G214" s="135"/>
      <c r="H214" s="136"/>
      <c r="I214" s="137">
        <f t="shared" si="0"/>
        <v>0.5</v>
      </c>
    </row>
    <row r="215" spans="1:9" customFormat="1">
      <c r="A215" s="129"/>
      <c r="B215" s="130"/>
      <c r="C215" s="131" t="s">
        <v>401</v>
      </c>
      <c r="D215" s="132">
        <v>2.33</v>
      </c>
      <c r="E215" s="133">
        <v>0.2</v>
      </c>
      <c r="F215" s="134">
        <v>2.5</v>
      </c>
      <c r="G215" s="135"/>
      <c r="H215" s="136"/>
      <c r="I215" s="137">
        <f t="shared" si="0"/>
        <v>1.165</v>
      </c>
    </row>
    <row r="216" spans="1:9" customFormat="1">
      <c r="A216" s="129"/>
      <c r="B216" s="130"/>
      <c r="C216" s="131" t="s">
        <v>402</v>
      </c>
      <c r="D216" s="132">
        <v>1</v>
      </c>
      <c r="E216" s="133">
        <v>0.2</v>
      </c>
      <c r="F216" s="134">
        <v>2.5</v>
      </c>
      <c r="G216" s="135"/>
      <c r="H216" s="136"/>
      <c r="I216" s="137">
        <f t="shared" si="0"/>
        <v>0.5</v>
      </c>
    </row>
    <row r="217" spans="1:9" customFormat="1">
      <c r="A217" s="129"/>
      <c r="B217" s="130"/>
      <c r="C217" s="131" t="s">
        <v>403</v>
      </c>
      <c r="D217" s="132">
        <v>1</v>
      </c>
      <c r="E217" s="133">
        <v>0.2</v>
      </c>
      <c r="F217" s="134">
        <v>2.5</v>
      </c>
      <c r="G217" s="135"/>
      <c r="H217" s="136"/>
      <c r="I217" s="137">
        <f t="shared" si="0"/>
        <v>0.5</v>
      </c>
    </row>
    <row r="218" spans="1:9" customFormat="1">
      <c r="A218" s="129"/>
      <c r="B218" s="130"/>
      <c r="C218" s="131" t="s">
        <v>404</v>
      </c>
      <c r="D218" s="132">
        <v>1</v>
      </c>
      <c r="E218" s="133">
        <v>0.2</v>
      </c>
      <c r="F218" s="134">
        <v>2.5</v>
      </c>
      <c r="G218" s="135"/>
      <c r="H218" s="136"/>
      <c r="I218" s="137">
        <f t="shared" si="0"/>
        <v>0.5</v>
      </c>
    </row>
    <row r="219" spans="1:9" customFormat="1">
      <c r="A219" s="129"/>
      <c r="B219" s="130"/>
      <c r="C219" s="131" t="s">
        <v>405</v>
      </c>
      <c r="D219" s="132">
        <v>1.7</v>
      </c>
      <c r="E219" s="133">
        <v>0.2</v>
      </c>
      <c r="F219" s="134">
        <v>2.5</v>
      </c>
      <c r="G219" s="135"/>
      <c r="H219" s="136"/>
      <c r="I219" s="137">
        <f t="shared" si="0"/>
        <v>0.85</v>
      </c>
    </row>
    <row r="220" spans="1:9" customFormat="1">
      <c r="A220" s="129"/>
      <c r="B220" s="130"/>
      <c r="C220" s="131" t="s">
        <v>406</v>
      </c>
      <c r="D220" s="132">
        <v>1</v>
      </c>
      <c r="E220" s="133">
        <v>0.2</v>
      </c>
      <c r="F220" s="134">
        <v>2.5</v>
      </c>
      <c r="G220" s="135"/>
      <c r="H220" s="136"/>
      <c r="I220" s="137">
        <f t="shared" si="0"/>
        <v>0.5</v>
      </c>
    </row>
    <row r="221" spans="1:9" customFormat="1">
      <c r="A221" s="129"/>
      <c r="B221" s="130"/>
      <c r="C221" s="131"/>
      <c r="D221" s="132"/>
      <c r="E221" s="138"/>
      <c r="F221" s="134"/>
      <c r="G221" s="135"/>
      <c r="H221" s="136"/>
      <c r="I221" s="137">
        <f t="shared" si="0"/>
        <v>0</v>
      </c>
    </row>
    <row r="222" spans="1:9" customFormat="1">
      <c r="A222" s="129"/>
      <c r="B222" s="130" t="s">
        <v>407</v>
      </c>
      <c r="C222" s="131" t="s">
        <v>408</v>
      </c>
      <c r="D222" s="132">
        <v>0.9</v>
      </c>
      <c r="E222" s="133">
        <v>0.2</v>
      </c>
      <c r="F222" s="134">
        <v>2.1</v>
      </c>
      <c r="G222" s="135"/>
      <c r="H222" s="136"/>
      <c r="I222" s="137">
        <f t="shared" si="0"/>
        <v>0.378</v>
      </c>
    </row>
    <row r="223" spans="1:9" s="2" customFormat="1">
      <c r="A223" s="108"/>
      <c r="B223" s="109"/>
      <c r="C223" s="110"/>
      <c r="D223" s="111"/>
      <c r="E223" s="112"/>
      <c r="F223" s="113"/>
      <c r="G223" s="114"/>
      <c r="H223" s="115"/>
      <c r="I223" s="116">
        <f t="shared" si="0"/>
        <v>0</v>
      </c>
    </row>
    <row r="224" spans="1:9" s="2" customFormat="1">
      <c r="A224" s="108"/>
      <c r="B224" s="109"/>
      <c r="C224" s="110"/>
      <c r="D224" s="111"/>
      <c r="E224" s="112"/>
      <c r="F224" s="113"/>
      <c r="G224" s="114"/>
      <c r="H224" s="115"/>
      <c r="I224" s="116">
        <f t="shared" si="0"/>
        <v>0</v>
      </c>
    </row>
    <row r="225" spans="1:9" s="2" customFormat="1">
      <c r="A225" s="90"/>
      <c r="B225" s="91"/>
      <c r="C225" s="92"/>
      <c r="D225" s="93" t="s">
        <v>74</v>
      </c>
      <c r="E225" s="94"/>
      <c r="F225" s="95"/>
      <c r="G225" s="96" t="s">
        <v>75</v>
      </c>
      <c r="H225" s="97" t="s">
        <v>162</v>
      </c>
      <c r="I225" s="117">
        <f>SUBTOTAL(9,I213:I224)</f>
        <v>4.8929999999999998</v>
      </c>
    </row>
    <row r="226" spans="1:9" s="2" customFormat="1"/>
    <row r="227" spans="1:9" s="2" customFormat="1"/>
    <row r="228" spans="1:9" s="2" customFormat="1">
      <c r="A228" s="81" t="s">
        <v>163</v>
      </c>
      <c r="B228" s="82" t="s">
        <v>435</v>
      </c>
      <c r="C228" s="83"/>
      <c r="D228" s="84"/>
      <c r="E228" s="85"/>
      <c r="F228" s="86"/>
      <c r="G228" s="87"/>
      <c r="H228" s="88"/>
      <c r="I228" s="89"/>
    </row>
    <row r="229" spans="1:9" s="2" customFormat="1">
      <c r="A229" s="99"/>
      <c r="B229" s="100" t="s">
        <v>70</v>
      </c>
      <c r="C229" s="101"/>
      <c r="D229" s="102" t="s">
        <v>89</v>
      </c>
      <c r="E229" s="103" t="s">
        <v>160</v>
      </c>
      <c r="F229" s="104" t="s">
        <v>161</v>
      </c>
      <c r="G229" s="105" t="s">
        <v>71</v>
      </c>
      <c r="H229" s="106"/>
      <c r="I229" s="107" t="s">
        <v>72</v>
      </c>
    </row>
    <row r="230" spans="1:9" s="2" customFormat="1">
      <c r="A230" s="108"/>
      <c r="B230" s="109"/>
      <c r="C230" s="110"/>
      <c r="D230" s="111"/>
      <c r="E230" s="112"/>
      <c r="F230" s="113"/>
      <c r="G230" s="114"/>
      <c r="H230" s="115"/>
      <c r="I230" s="142">
        <f t="shared" ref="I230:I232" si="1">ROUND(PRODUCT(ROUND(PRODUCT(D230,E230,F230),3),G230,H230),3)</f>
        <v>0</v>
      </c>
    </row>
    <row r="231" spans="1:9" s="2" customFormat="1">
      <c r="A231" s="108"/>
      <c r="B231" s="109"/>
      <c r="C231" s="110"/>
      <c r="D231" s="111">
        <v>3</v>
      </c>
      <c r="E231" s="112"/>
      <c r="F231" s="113">
        <v>2.5</v>
      </c>
      <c r="G231" s="114"/>
      <c r="H231" s="115"/>
      <c r="I231" s="142">
        <f t="shared" si="1"/>
        <v>7.5</v>
      </c>
    </row>
    <row r="232" spans="1:9" s="2" customFormat="1">
      <c r="A232" s="108"/>
      <c r="B232" s="109"/>
      <c r="C232" s="110"/>
      <c r="D232" s="111"/>
      <c r="E232" s="112"/>
      <c r="F232" s="113"/>
      <c r="G232" s="114"/>
      <c r="H232" s="115"/>
      <c r="I232" s="142">
        <f t="shared" si="1"/>
        <v>0</v>
      </c>
    </row>
    <row r="233" spans="1:9" s="2" customFormat="1">
      <c r="A233" s="90"/>
      <c r="B233" s="91"/>
      <c r="C233" s="92"/>
      <c r="D233" s="93" t="s">
        <v>74</v>
      </c>
      <c r="E233" s="94"/>
      <c r="F233" s="95"/>
      <c r="G233" s="96" t="s">
        <v>75</v>
      </c>
      <c r="H233" s="97" t="s">
        <v>168</v>
      </c>
      <c r="I233" s="143">
        <f>SUBTOTAL(9,I230:I232)</f>
        <v>7.5</v>
      </c>
    </row>
    <row r="234" spans="1:9" s="2" customFormat="1"/>
    <row r="235" spans="1:9" s="2" customFormat="1"/>
    <row r="236" spans="1:9" s="2" customFormat="1">
      <c r="A236" s="81" t="s">
        <v>164</v>
      </c>
      <c r="B236" s="82" t="s">
        <v>165</v>
      </c>
      <c r="C236" s="83"/>
      <c r="D236" s="84"/>
      <c r="E236" s="85"/>
      <c r="F236" s="86"/>
      <c r="G236" s="87"/>
      <c r="H236" s="88"/>
      <c r="I236" s="89"/>
    </row>
    <row r="237" spans="1:9" s="2" customFormat="1"/>
    <row r="238" spans="1:9" s="2" customFormat="1"/>
    <row r="239" spans="1:9" s="2" customFormat="1">
      <c r="A239" s="81" t="s">
        <v>166</v>
      </c>
      <c r="B239" s="82" t="s">
        <v>436</v>
      </c>
      <c r="C239" s="83"/>
      <c r="D239" s="84"/>
      <c r="E239" s="85"/>
      <c r="F239" s="86"/>
      <c r="G239" s="87"/>
      <c r="H239" s="88"/>
      <c r="I239" s="89"/>
    </row>
    <row r="240" spans="1:9" s="2" customFormat="1"/>
    <row r="241" spans="1:9" s="2" customFormat="1"/>
    <row r="242" spans="1:9" s="2" customFormat="1">
      <c r="A242" s="81" t="s">
        <v>167</v>
      </c>
      <c r="B242" s="82" t="s">
        <v>437</v>
      </c>
      <c r="C242" s="83"/>
      <c r="D242" s="84"/>
      <c r="E242" s="85"/>
      <c r="F242" s="86"/>
      <c r="G242" s="87"/>
      <c r="H242" s="88"/>
      <c r="I242" s="89"/>
    </row>
    <row r="243" spans="1:9" s="2" customFormat="1">
      <c r="A243" s="99"/>
      <c r="B243" s="100" t="s">
        <v>70</v>
      </c>
      <c r="C243" s="101"/>
      <c r="D243" s="102" t="s">
        <v>89</v>
      </c>
      <c r="E243" s="103" t="s">
        <v>160</v>
      </c>
      <c r="F243" s="104"/>
      <c r="G243" s="105" t="s">
        <v>71</v>
      </c>
      <c r="H243" s="106"/>
      <c r="I243" s="107" t="s">
        <v>72</v>
      </c>
    </row>
    <row r="244" spans="1:9" s="2" customFormat="1">
      <c r="A244" s="108"/>
      <c r="B244" s="109"/>
      <c r="C244" s="110"/>
      <c r="D244" s="111"/>
      <c r="E244" s="112"/>
      <c r="F244" s="113"/>
      <c r="G244" s="114"/>
      <c r="H244" s="115"/>
      <c r="I244" s="118">
        <f t="shared" ref="I244:I250" si="2">ROUND(PRODUCT(ROUND(PRODUCT(D244,E244,F244),2),G244,H244),2)</f>
        <v>0</v>
      </c>
    </row>
    <row r="245" spans="1:9" customFormat="1">
      <c r="A245" s="129"/>
      <c r="B245" s="130" t="s">
        <v>399</v>
      </c>
      <c r="C245" s="131" t="s">
        <v>409</v>
      </c>
      <c r="D245" s="132">
        <v>15.5</v>
      </c>
      <c r="E245" s="138">
        <v>6</v>
      </c>
      <c r="F245" s="134"/>
      <c r="G245" s="135"/>
      <c r="H245" s="136"/>
      <c r="I245" s="139">
        <f t="shared" si="2"/>
        <v>93</v>
      </c>
    </row>
    <row r="246" spans="1:9" customFormat="1">
      <c r="A246" s="129"/>
      <c r="B246" s="130"/>
      <c r="C246" s="131" t="s">
        <v>410</v>
      </c>
      <c r="D246" s="132">
        <v>4.2</v>
      </c>
      <c r="E246" s="138">
        <v>2.8</v>
      </c>
      <c r="F246" s="134"/>
      <c r="G246" s="135"/>
      <c r="H246" s="136"/>
      <c r="I246" s="139">
        <f>ROUND(PRODUCT(ROUND(PRODUCT(D246,E246,F246),2),G246,H246),2)</f>
        <v>11.76</v>
      </c>
    </row>
    <row r="247" spans="1:9" customFormat="1">
      <c r="A247" s="129"/>
      <c r="B247" s="140"/>
      <c r="C247" s="141" t="s">
        <v>411</v>
      </c>
      <c r="D247" s="132"/>
      <c r="E247" s="138"/>
      <c r="F247" s="134"/>
      <c r="G247" s="135"/>
      <c r="H247" s="136"/>
      <c r="I247" s="139"/>
    </row>
    <row r="248" spans="1:9" customFormat="1">
      <c r="A248" s="129"/>
      <c r="B248" s="130"/>
      <c r="C248" s="131" t="s">
        <v>412</v>
      </c>
      <c r="D248" s="132">
        <v>32.799999999999997</v>
      </c>
      <c r="E248" s="138">
        <v>3.5</v>
      </c>
      <c r="F248" s="134"/>
      <c r="G248" s="135"/>
      <c r="H248" s="136"/>
      <c r="I248" s="139">
        <f>ROUND(PRODUCT(ROUND(PRODUCT(D248,E248,F248),2),G248,H248),2)</f>
        <v>114.8</v>
      </c>
    </row>
    <row r="249" spans="1:9" s="2" customFormat="1">
      <c r="A249" s="108"/>
      <c r="B249" s="109"/>
      <c r="C249" s="110"/>
      <c r="D249" s="111"/>
      <c r="E249" s="112"/>
      <c r="F249" s="113"/>
      <c r="G249" s="114"/>
      <c r="H249" s="115"/>
      <c r="I249" s="118">
        <f t="shared" si="2"/>
        <v>0</v>
      </c>
    </row>
    <row r="250" spans="1:9" s="2" customFormat="1">
      <c r="A250" s="108"/>
      <c r="B250" s="109"/>
      <c r="C250" s="110"/>
      <c r="D250" s="111"/>
      <c r="E250" s="112"/>
      <c r="F250" s="113"/>
      <c r="G250" s="114"/>
      <c r="H250" s="115"/>
      <c r="I250" s="118">
        <f t="shared" si="2"/>
        <v>0</v>
      </c>
    </row>
    <row r="251" spans="1:9" s="2" customFormat="1">
      <c r="A251" s="90"/>
      <c r="B251" s="91"/>
      <c r="C251" s="92"/>
      <c r="D251" s="93" t="s">
        <v>74</v>
      </c>
      <c r="E251" s="94"/>
      <c r="F251" s="95"/>
      <c r="G251" s="96" t="s">
        <v>75</v>
      </c>
      <c r="H251" s="97" t="s">
        <v>168</v>
      </c>
      <c r="I251" s="119">
        <f>SUBTOTAL(9,I244:I250)</f>
        <v>219.56</v>
      </c>
    </row>
    <row r="252" spans="1:9" s="2" customFormat="1"/>
    <row r="253" spans="1:9" s="2" customFormat="1"/>
    <row r="254" spans="1:9" s="2" customFormat="1">
      <c r="A254" s="81" t="s">
        <v>169</v>
      </c>
      <c r="B254" s="82" t="s">
        <v>438</v>
      </c>
      <c r="C254" s="83"/>
      <c r="D254" s="84"/>
      <c r="E254" s="85"/>
      <c r="F254" s="86"/>
      <c r="G254" s="87"/>
      <c r="H254" s="88"/>
      <c r="I254" s="89"/>
    </row>
    <row r="255" spans="1:9" s="2" customFormat="1">
      <c r="A255" s="99"/>
      <c r="B255" s="100" t="s">
        <v>70</v>
      </c>
      <c r="C255" s="101"/>
      <c r="D255" s="102" t="s">
        <v>89</v>
      </c>
      <c r="E255" s="103" t="s">
        <v>160</v>
      </c>
      <c r="F255" s="104"/>
      <c r="G255" s="105" t="s">
        <v>71</v>
      </c>
      <c r="H255" s="106"/>
      <c r="I255" s="107" t="s">
        <v>72</v>
      </c>
    </row>
    <row r="256" spans="1:9" s="2" customFormat="1">
      <c r="A256" s="108"/>
      <c r="B256" s="109"/>
      <c r="C256" s="110"/>
      <c r="D256" s="111"/>
      <c r="E256" s="112"/>
      <c r="F256" s="113"/>
      <c r="G256" s="114"/>
      <c r="H256" s="115"/>
      <c r="I256" s="118">
        <f t="shared" ref="I256:I258" si="3">ROUND(PRODUCT(ROUND(PRODUCT(D256,E256,F256),2),G256,H256),2)</f>
        <v>0</v>
      </c>
    </row>
    <row r="257" spans="1:9" customFormat="1">
      <c r="A257" s="129"/>
      <c r="B257" s="130" t="s">
        <v>407</v>
      </c>
      <c r="C257" s="131" t="s">
        <v>413</v>
      </c>
      <c r="D257" s="132">
        <v>15.5</v>
      </c>
      <c r="E257" s="138">
        <v>6</v>
      </c>
      <c r="F257" s="134"/>
      <c r="G257" s="135"/>
      <c r="H257" s="136"/>
      <c r="I257" s="139">
        <f t="shared" si="3"/>
        <v>93</v>
      </c>
    </row>
    <row r="258" spans="1:9" s="2" customFormat="1">
      <c r="A258" s="108"/>
      <c r="B258" s="109"/>
      <c r="C258" s="110"/>
      <c r="D258" s="111"/>
      <c r="E258" s="112"/>
      <c r="F258" s="113"/>
      <c r="G258" s="114"/>
      <c r="H258" s="115"/>
      <c r="I258" s="118">
        <f t="shared" si="3"/>
        <v>0</v>
      </c>
    </row>
    <row r="259" spans="1:9" s="2" customFormat="1">
      <c r="A259" s="90"/>
      <c r="B259" s="91"/>
      <c r="C259" s="92"/>
      <c r="D259" s="93" t="s">
        <v>74</v>
      </c>
      <c r="E259" s="94"/>
      <c r="F259" s="95"/>
      <c r="G259" s="96" t="s">
        <v>75</v>
      </c>
      <c r="H259" s="97" t="s">
        <v>168</v>
      </c>
      <c r="I259" s="119">
        <f>SUBTOTAL(9,I256:I258)</f>
        <v>93</v>
      </c>
    </row>
    <row r="260" spans="1:9" s="2" customFormat="1"/>
    <row r="261" spans="1:9" s="2" customFormat="1"/>
    <row r="262" spans="1:9" s="2" customFormat="1">
      <c r="A262" s="81" t="s">
        <v>170</v>
      </c>
      <c r="B262" s="82" t="s">
        <v>171</v>
      </c>
      <c r="C262" s="83"/>
      <c r="D262" s="84"/>
      <c r="E262" s="85"/>
      <c r="F262" s="86"/>
      <c r="G262" s="87"/>
      <c r="H262" s="88"/>
      <c r="I262" s="89"/>
    </row>
    <row r="263" spans="1:9" s="2" customFormat="1"/>
    <row r="264" spans="1:9" s="2" customFormat="1"/>
    <row r="265" spans="1:9" s="2" customFormat="1">
      <c r="A265" s="81" t="s">
        <v>172</v>
      </c>
      <c r="B265" s="82" t="s">
        <v>439</v>
      </c>
      <c r="C265" s="83"/>
      <c r="D265" s="84"/>
      <c r="E265" s="85"/>
      <c r="F265" s="86"/>
      <c r="G265" s="87"/>
      <c r="H265" s="88"/>
      <c r="I265" s="89"/>
    </row>
    <row r="266" spans="1:9" s="2" customFormat="1">
      <c r="A266" s="99"/>
      <c r="B266" s="100" t="s">
        <v>70</v>
      </c>
      <c r="C266" s="101"/>
      <c r="D266" s="102" t="s">
        <v>89</v>
      </c>
      <c r="E266" s="103" t="s">
        <v>160</v>
      </c>
      <c r="F266" s="104"/>
      <c r="G266" s="105" t="s">
        <v>71</v>
      </c>
      <c r="H266" s="106"/>
      <c r="I266" s="107" t="s">
        <v>72</v>
      </c>
    </row>
    <row r="267" spans="1:9" s="2" customFormat="1">
      <c r="A267" s="108"/>
      <c r="B267" s="109"/>
      <c r="C267" s="110"/>
      <c r="D267" s="111"/>
      <c r="E267" s="112"/>
      <c r="F267" s="113"/>
      <c r="G267" s="114"/>
      <c r="H267" s="115"/>
      <c r="I267" s="118">
        <f t="shared" ref="I267:I273" si="4">ROUND(PRODUCT(ROUND(PRODUCT(D267,E267,F267),2),G267,H267),2)</f>
        <v>0</v>
      </c>
    </row>
    <row r="268" spans="1:9" customFormat="1">
      <c r="A268" s="129"/>
      <c r="B268" s="130" t="s">
        <v>399</v>
      </c>
      <c r="C268" s="131" t="s">
        <v>414</v>
      </c>
      <c r="D268" s="132">
        <v>1.3</v>
      </c>
      <c r="E268" s="138">
        <v>0.4</v>
      </c>
      <c r="F268" s="134"/>
      <c r="G268" s="135">
        <v>2</v>
      </c>
      <c r="H268" s="136"/>
      <c r="I268" s="139">
        <f t="shared" si="4"/>
        <v>1.04</v>
      </c>
    </row>
    <row r="269" spans="1:9" customFormat="1">
      <c r="A269" s="129"/>
      <c r="C269" s="131" t="s">
        <v>414</v>
      </c>
      <c r="D269" s="132">
        <v>1.1000000000000001</v>
      </c>
      <c r="E269" s="138">
        <v>0.4</v>
      </c>
      <c r="F269" s="134"/>
      <c r="G269" s="135">
        <v>2</v>
      </c>
      <c r="H269" s="136"/>
      <c r="I269" s="139">
        <f t="shared" si="4"/>
        <v>0.88</v>
      </c>
    </row>
    <row r="270" spans="1:9" customFormat="1">
      <c r="A270" s="129"/>
      <c r="B270" s="130"/>
      <c r="C270" s="131" t="s">
        <v>415</v>
      </c>
      <c r="D270" s="132">
        <v>1.5</v>
      </c>
      <c r="E270" s="138">
        <v>0.4</v>
      </c>
      <c r="F270" s="134"/>
      <c r="G270" s="135">
        <v>1</v>
      </c>
      <c r="H270" s="136"/>
      <c r="I270" s="139">
        <f t="shared" si="4"/>
        <v>0.6</v>
      </c>
    </row>
    <row r="271" spans="1:9" customFormat="1">
      <c r="A271" s="129"/>
      <c r="B271" s="130" t="s">
        <v>407</v>
      </c>
      <c r="C271" s="131" t="s">
        <v>416</v>
      </c>
      <c r="D271" s="132">
        <v>1</v>
      </c>
      <c r="E271" s="138">
        <v>0.2</v>
      </c>
      <c r="F271" s="134"/>
      <c r="G271" s="135">
        <v>5</v>
      </c>
      <c r="H271" s="136"/>
      <c r="I271" s="139">
        <f t="shared" si="4"/>
        <v>1</v>
      </c>
    </row>
    <row r="272" spans="1:9" s="2" customFormat="1">
      <c r="A272" s="108"/>
      <c r="B272" s="109"/>
      <c r="C272" s="110"/>
      <c r="D272" s="111"/>
      <c r="E272" s="112"/>
      <c r="F272" s="113"/>
      <c r="G272" s="114"/>
      <c r="H272" s="115"/>
      <c r="I272" s="118">
        <f t="shared" si="4"/>
        <v>0</v>
      </c>
    </row>
    <row r="273" spans="1:9" s="2" customFormat="1">
      <c r="A273" s="108"/>
      <c r="B273" s="109"/>
      <c r="C273" s="110"/>
      <c r="D273" s="111"/>
      <c r="E273" s="112"/>
      <c r="F273" s="113"/>
      <c r="G273" s="114"/>
      <c r="H273" s="115"/>
      <c r="I273" s="118">
        <f t="shared" si="4"/>
        <v>0</v>
      </c>
    </row>
    <row r="274" spans="1:9" s="2" customFormat="1">
      <c r="A274" s="90"/>
      <c r="B274" s="91"/>
      <c r="C274" s="92"/>
      <c r="D274" s="93" t="s">
        <v>74</v>
      </c>
      <c r="E274" s="94"/>
      <c r="F274" s="95"/>
      <c r="G274" s="96" t="s">
        <v>75</v>
      </c>
      <c r="H274" s="97" t="s">
        <v>168</v>
      </c>
      <c r="I274" s="119">
        <f>SUBTOTAL(9,I267:I273)</f>
        <v>3.52</v>
      </c>
    </row>
    <row r="275" spans="1:9" s="2" customFormat="1"/>
    <row r="276" spans="1:9" s="2" customFormat="1"/>
    <row r="277" spans="1:9" s="2" customFormat="1">
      <c r="A277" s="81" t="s">
        <v>173</v>
      </c>
      <c r="B277" s="82" t="s">
        <v>174</v>
      </c>
      <c r="C277" s="83"/>
      <c r="D277" s="84"/>
      <c r="E277" s="85"/>
      <c r="F277" s="86"/>
      <c r="G277" s="87"/>
      <c r="H277" s="88"/>
      <c r="I277" s="89"/>
    </row>
    <row r="278" spans="1:9" s="2" customFormat="1"/>
    <row r="279" spans="1:9" s="2" customFormat="1"/>
    <row r="280" spans="1:9" s="2" customFormat="1">
      <c r="A280" s="81" t="s">
        <v>175</v>
      </c>
      <c r="B280" s="82" t="s">
        <v>176</v>
      </c>
      <c r="C280" s="83"/>
      <c r="D280" s="84"/>
      <c r="E280" s="85"/>
      <c r="F280" s="86"/>
      <c r="G280" s="87"/>
      <c r="H280" s="88"/>
      <c r="I280" s="89"/>
    </row>
    <row r="281" spans="1:9" s="2" customFormat="1">
      <c r="A281" s="90"/>
      <c r="B281" s="91"/>
      <c r="C281" s="92"/>
      <c r="D281" s="93" t="s">
        <v>74</v>
      </c>
      <c r="E281" s="94"/>
      <c r="F281" s="95"/>
      <c r="G281" s="96" t="s">
        <v>91</v>
      </c>
      <c r="H281" s="97"/>
      <c r="I281" s="98"/>
    </row>
    <row r="282" spans="1:9" s="2" customFormat="1"/>
    <row r="283" spans="1:9" s="2" customFormat="1"/>
    <row r="284" spans="1:9" s="2" customFormat="1">
      <c r="A284" s="81" t="s">
        <v>177</v>
      </c>
      <c r="B284" s="82" t="s">
        <v>178</v>
      </c>
      <c r="C284" s="83"/>
      <c r="D284" s="84"/>
      <c r="E284" s="85"/>
      <c r="F284" s="86"/>
      <c r="G284" s="87"/>
      <c r="H284" s="88"/>
      <c r="I284" s="89"/>
    </row>
    <row r="285" spans="1:9" s="2" customFormat="1"/>
    <row r="286" spans="1:9" s="2" customFormat="1"/>
    <row r="287" spans="1:9" s="2" customFormat="1">
      <c r="A287" s="81" t="s">
        <v>179</v>
      </c>
      <c r="B287" s="82" t="s">
        <v>180</v>
      </c>
      <c r="C287" s="83"/>
      <c r="D287" s="84"/>
      <c r="E287" s="85"/>
      <c r="F287" s="86"/>
      <c r="G287" s="87"/>
      <c r="H287" s="88"/>
      <c r="I287" s="89"/>
    </row>
    <row r="288" spans="1:9" s="2" customFormat="1">
      <c r="A288" s="99"/>
      <c r="B288" s="100" t="s">
        <v>70</v>
      </c>
      <c r="C288" s="101"/>
      <c r="D288" s="102" t="s">
        <v>89</v>
      </c>
      <c r="E288" s="103"/>
      <c r="F288" s="104"/>
      <c r="G288" s="105" t="s">
        <v>71</v>
      </c>
      <c r="H288" s="106"/>
      <c r="I288" s="107" t="s">
        <v>72</v>
      </c>
    </row>
    <row r="289" spans="1:9" s="2" customFormat="1">
      <c r="A289" s="108"/>
      <c r="B289" s="109"/>
      <c r="C289" s="110"/>
      <c r="D289" s="111"/>
      <c r="E289" s="112"/>
      <c r="F289" s="113"/>
      <c r="G289" s="114"/>
      <c r="H289" s="115"/>
      <c r="I289" s="118">
        <f t="shared" ref="I289:I292" si="5">ROUND(PRODUCT(ROUND(PRODUCT(D289,E289,F289),2),G289,H289),2)</f>
        <v>0</v>
      </c>
    </row>
    <row r="290" spans="1:9" s="2" customFormat="1">
      <c r="A290" s="108"/>
      <c r="B290" s="109"/>
      <c r="C290" s="131" t="s">
        <v>414</v>
      </c>
      <c r="D290" s="132">
        <v>1.1000000000000001</v>
      </c>
      <c r="E290" s="112"/>
      <c r="F290" s="113"/>
      <c r="G290" s="114">
        <v>3</v>
      </c>
      <c r="H290" s="115"/>
      <c r="I290" s="118">
        <f t="shared" si="5"/>
        <v>3.3</v>
      </c>
    </row>
    <row r="291" spans="1:9" s="2" customFormat="1">
      <c r="A291" s="108"/>
      <c r="B291" s="109"/>
      <c r="C291" s="131" t="s">
        <v>415</v>
      </c>
      <c r="D291" s="132">
        <v>1.5</v>
      </c>
      <c r="E291" s="112"/>
      <c r="F291" s="113"/>
      <c r="G291" s="114">
        <v>1</v>
      </c>
      <c r="H291" s="115"/>
      <c r="I291" s="118">
        <f t="shared" si="5"/>
        <v>1.5</v>
      </c>
    </row>
    <row r="292" spans="1:9" s="2" customFormat="1">
      <c r="A292" s="108"/>
      <c r="B292" s="109"/>
      <c r="C292" s="110"/>
      <c r="D292" s="111"/>
      <c r="E292" s="112"/>
      <c r="F292" s="113"/>
      <c r="G292" s="114"/>
      <c r="H292" s="115"/>
      <c r="I292" s="118">
        <f t="shared" si="5"/>
        <v>0</v>
      </c>
    </row>
    <row r="293" spans="1:9" s="2" customFormat="1">
      <c r="A293" s="90"/>
      <c r="B293" s="91"/>
      <c r="C293" s="92"/>
      <c r="D293" s="93" t="s">
        <v>74</v>
      </c>
      <c r="E293" s="94"/>
      <c r="F293" s="95"/>
      <c r="G293" s="96" t="s">
        <v>75</v>
      </c>
      <c r="H293" s="97" t="s">
        <v>90</v>
      </c>
      <c r="I293" s="119">
        <f>SUBTOTAL(9,I289:I292)</f>
        <v>4.8</v>
      </c>
    </row>
    <row r="294" spans="1:9" s="2" customFormat="1"/>
    <row r="295" spans="1:9" s="2" customFormat="1"/>
    <row r="296" spans="1:9" s="2" customFormat="1">
      <c r="A296" s="81" t="s">
        <v>181</v>
      </c>
      <c r="B296" s="82" t="s">
        <v>182</v>
      </c>
      <c r="C296" s="83"/>
      <c r="D296" s="84"/>
      <c r="E296" s="85"/>
      <c r="F296" s="86"/>
      <c r="G296" s="87"/>
      <c r="H296" s="88"/>
      <c r="I296" s="89"/>
    </row>
    <row r="297" spans="1:9" s="2" customFormat="1"/>
    <row r="298" spans="1:9" s="2" customFormat="1"/>
    <row r="299" spans="1:9" s="2" customFormat="1">
      <c r="A299" s="81" t="s">
        <v>183</v>
      </c>
      <c r="B299" s="82" t="s">
        <v>184</v>
      </c>
      <c r="C299" s="83"/>
      <c r="D299" s="84"/>
      <c r="E299" s="85"/>
      <c r="F299" s="86"/>
      <c r="G299" s="87"/>
      <c r="H299" s="88"/>
      <c r="I299" s="89"/>
    </row>
    <row r="300" spans="1:9" s="2" customFormat="1"/>
    <row r="301" spans="1:9" s="2" customFormat="1"/>
    <row r="302" spans="1:9" s="2" customFormat="1">
      <c r="A302" s="81" t="s">
        <v>185</v>
      </c>
      <c r="B302" s="82" t="s">
        <v>186</v>
      </c>
      <c r="C302" s="83"/>
      <c r="D302" s="84"/>
      <c r="E302" s="85"/>
      <c r="F302" s="86"/>
      <c r="G302" s="87"/>
      <c r="H302" s="88"/>
      <c r="I302" s="89"/>
    </row>
    <row r="303" spans="1:9" s="2" customFormat="1">
      <c r="A303" s="90"/>
      <c r="B303" s="91"/>
      <c r="C303" s="92"/>
      <c r="D303" s="93" t="s">
        <v>74</v>
      </c>
      <c r="E303" s="94"/>
      <c r="F303" s="95"/>
      <c r="G303" s="96" t="s">
        <v>91</v>
      </c>
      <c r="H303" s="97"/>
      <c r="I303" s="98"/>
    </row>
    <row r="304" spans="1:9" s="2" customFormat="1"/>
    <row r="305" spans="1:9" s="2" customFormat="1"/>
    <row r="306" spans="1:9" s="2" customFormat="1">
      <c r="A306" s="81" t="s">
        <v>187</v>
      </c>
      <c r="B306" s="82" t="s">
        <v>188</v>
      </c>
      <c r="C306" s="83"/>
      <c r="D306" s="84"/>
      <c r="E306" s="85"/>
      <c r="F306" s="86"/>
      <c r="G306" s="87"/>
      <c r="H306" s="88"/>
      <c r="I306" s="89"/>
    </row>
    <row r="307" spans="1:9" s="2" customFormat="1"/>
    <row r="308" spans="1:9" s="2" customFormat="1"/>
    <row r="309" spans="1:9" s="2" customFormat="1">
      <c r="A309" s="81" t="s">
        <v>189</v>
      </c>
      <c r="B309" s="82" t="s">
        <v>190</v>
      </c>
      <c r="C309" s="83"/>
      <c r="D309" s="84"/>
      <c r="E309" s="85"/>
      <c r="F309" s="86"/>
      <c r="G309" s="87"/>
      <c r="H309" s="88"/>
      <c r="I309" s="89"/>
    </row>
    <row r="310" spans="1:9" s="2" customFormat="1">
      <c r="A310" s="90"/>
      <c r="B310" s="91"/>
      <c r="C310" s="92"/>
      <c r="D310" s="93" t="s">
        <v>74</v>
      </c>
      <c r="E310" s="94"/>
      <c r="F310" s="95"/>
      <c r="G310" s="96" t="s">
        <v>91</v>
      </c>
      <c r="H310" s="97"/>
      <c r="I310" s="98"/>
    </row>
    <row r="311" spans="1:9" s="2" customFormat="1"/>
    <row r="312" spans="1:9" s="2" customFormat="1"/>
    <row r="313" spans="1:9" s="2" customFormat="1">
      <c r="A313" s="81" t="s">
        <v>191</v>
      </c>
      <c r="B313" s="82" t="s">
        <v>192</v>
      </c>
      <c r="C313" s="83"/>
      <c r="D313" s="84"/>
      <c r="E313" s="85"/>
      <c r="F313" s="86"/>
      <c r="G313" s="87"/>
      <c r="H313" s="88"/>
      <c r="I313" s="89"/>
    </row>
    <row r="314" spans="1:9" s="2" customFormat="1">
      <c r="A314" s="90"/>
      <c r="B314" s="91"/>
      <c r="C314" s="92"/>
      <c r="D314" s="93" t="s">
        <v>74</v>
      </c>
      <c r="E314" s="94"/>
      <c r="F314" s="95"/>
      <c r="G314" s="96" t="s">
        <v>91</v>
      </c>
      <c r="H314" s="97"/>
      <c r="I314" s="98"/>
    </row>
    <row r="315" spans="1:9" s="2" customFormat="1"/>
    <row r="316" spans="1:9" s="2" customFormat="1"/>
    <row r="317" spans="1:9" s="2" customFormat="1">
      <c r="A317" s="81" t="s">
        <v>193</v>
      </c>
      <c r="B317" s="82" t="s">
        <v>194</v>
      </c>
      <c r="C317" s="83"/>
      <c r="D317" s="84"/>
      <c r="E317" s="85"/>
      <c r="F317" s="86"/>
      <c r="G317" s="87"/>
      <c r="H317" s="88"/>
      <c r="I317" s="89"/>
    </row>
    <row r="318" spans="1:9" s="2" customFormat="1">
      <c r="A318" s="90"/>
      <c r="B318" s="91"/>
      <c r="C318" s="92"/>
      <c r="D318" s="93" t="s">
        <v>74</v>
      </c>
      <c r="E318" s="94"/>
      <c r="F318" s="95"/>
      <c r="G318" s="96" t="s">
        <v>91</v>
      </c>
      <c r="H318" s="97"/>
      <c r="I318" s="98"/>
    </row>
    <row r="319" spans="1:9" s="2" customFormat="1"/>
    <row r="320" spans="1:9" s="2" customFormat="1"/>
    <row r="321" spans="1:9" s="2" customFormat="1">
      <c r="A321" s="81" t="s">
        <v>195</v>
      </c>
      <c r="B321" s="82" t="s">
        <v>196</v>
      </c>
      <c r="C321" s="83"/>
      <c r="D321" s="84"/>
      <c r="E321" s="85"/>
      <c r="F321" s="86"/>
      <c r="G321" s="87"/>
      <c r="H321" s="88"/>
      <c r="I321" s="89"/>
    </row>
    <row r="322" spans="1:9" s="2" customFormat="1"/>
    <row r="323" spans="1:9" s="2" customFormat="1"/>
    <row r="324" spans="1:9" s="2" customFormat="1">
      <c r="A324" s="81" t="s">
        <v>197</v>
      </c>
      <c r="B324" s="82" t="s">
        <v>198</v>
      </c>
      <c r="C324" s="83"/>
      <c r="D324" s="84"/>
      <c r="E324" s="85"/>
      <c r="F324" s="86"/>
      <c r="G324" s="87"/>
      <c r="H324" s="88"/>
      <c r="I324" s="89"/>
    </row>
    <row r="325" spans="1:9" s="2" customFormat="1"/>
    <row r="326" spans="1:9" s="2" customFormat="1"/>
    <row r="327" spans="1:9" s="2" customFormat="1">
      <c r="A327" s="81" t="s">
        <v>199</v>
      </c>
      <c r="B327" s="82" t="s">
        <v>200</v>
      </c>
      <c r="C327" s="83"/>
      <c r="D327" s="84"/>
      <c r="E327" s="85"/>
      <c r="F327" s="86"/>
      <c r="G327" s="87"/>
      <c r="H327" s="88"/>
      <c r="I327" s="89"/>
    </row>
    <row r="328" spans="1:9" s="2" customFormat="1"/>
    <row r="329" spans="1:9" s="2" customFormat="1"/>
    <row r="330" spans="1:9" s="2" customFormat="1">
      <c r="A330" s="81" t="s">
        <v>201</v>
      </c>
      <c r="B330" s="82" t="s">
        <v>202</v>
      </c>
      <c r="C330" s="83"/>
      <c r="D330" s="84"/>
      <c r="E330" s="85"/>
      <c r="F330" s="86"/>
      <c r="G330" s="87"/>
      <c r="H330" s="88"/>
      <c r="I330" s="89"/>
    </row>
    <row r="331" spans="1:9" s="2" customFormat="1">
      <c r="A331" s="99"/>
      <c r="B331" s="100" t="s">
        <v>70</v>
      </c>
      <c r="C331" s="101"/>
      <c r="D331" s="102" t="s">
        <v>73</v>
      </c>
      <c r="E331" s="103"/>
      <c r="F331" s="104"/>
      <c r="G331" s="105" t="s">
        <v>71</v>
      </c>
      <c r="H331" s="106"/>
      <c r="I331" s="107" t="s">
        <v>72</v>
      </c>
    </row>
    <row r="332" spans="1:9" s="2" customFormat="1">
      <c r="A332" s="108"/>
      <c r="B332" s="109"/>
      <c r="C332" s="110"/>
      <c r="D332" s="111"/>
      <c r="E332" s="112"/>
      <c r="F332" s="113"/>
      <c r="G332" s="114"/>
      <c r="H332" s="115"/>
      <c r="I332" s="120">
        <f t="shared" ref="I332:I335" si="6">ROUND(PRODUCT(ROUND(PRODUCT(D332,E332,F332),0),G332,H332),0)</f>
        <v>0</v>
      </c>
    </row>
    <row r="333" spans="1:9" s="2" customFormat="1">
      <c r="A333" s="108"/>
      <c r="B333" s="109"/>
      <c r="C333" s="110"/>
      <c r="D333" s="111">
        <v>1</v>
      </c>
      <c r="E333" s="112"/>
      <c r="F333" s="113"/>
      <c r="G333" s="114"/>
      <c r="H333" s="115"/>
      <c r="I333" s="120">
        <f t="shared" si="6"/>
        <v>1</v>
      </c>
    </row>
    <row r="334" spans="1:9" s="2" customFormat="1">
      <c r="A334" s="108"/>
      <c r="B334" s="109"/>
      <c r="C334" s="110"/>
      <c r="D334" s="111"/>
      <c r="E334" s="112"/>
      <c r="F334" s="113"/>
      <c r="G334" s="114"/>
      <c r="H334" s="115"/>
      <c r="I334" s="120">
        <f t="shared" si="6"/>
        <v>0</v>
      </c>
    </row>
    <row r="335" spans="1:9" s="2" customFormat="1">
      <c r="A335" s="108"/>
      <c r="B335" s="109"/>
      <c r="C335" s="110"/>
      <c r="D335" s="111"/>
      <c r="E335" s="112"/>
      <c r="F335" s="113"/>
      <c r="G335" s="114"/>
      <c r="H335" s="115"/>
      <c r="I335" s="120">
        <f t="shared" si="6"/>
        <v>0</v>
      </c>
    </row>
    <row r="336" spans="1:9" s="2" customFormat="1">
      <c r="A336" s="90"/>
      <c r="B336" s="91"/>
      <c r="C336" s="92"/>
      <c r="D336" s="93" t="s">
        <v>74</v>
      </c>
      <c r="E336" s="94"/>
      <c r="F336" s="95"/>
      <c r="G336" s="96" t="s">
        <v>75</v>
      </c>
      <c r="H336" s="97" t="s">
        <v>76</v>
      </c>
      <c r="I336" s="98">
        <f>SUBTOTAL(9,I332:I335)</f>
        <v>1</v>
      </c>
    </row>
    <row r="337" spans="1:9" s="2" customFormat="1"/>
    <row r="338" spans="1:9" s="2" customFormat="1"/>
    <row r="339" spans="1:9" s="2" customFormat="1">
      <c r="A339" s="81" t="s">
        <v>203</v>
      </c>
      <c r="B339" s="82" t="s">
        <v>204</v>
      </c>
      <c r="C339" s="83"/>
      <c r="D339" s="84"/>
      <c r="E339" s="85"/>
      <c r="F339" s="86"/>
      <c r="G339" s="87"/>
      <c r="H339" s="88"/>
      <c r="I339" s="89"/>
    </row>
    <row r="340" spans="1:9" s="2" customFormat="1"/>
    <row r="341" spans="1:9" s="2" customFormat="1"/>
    <row r="342" spans="1:9" s="2" customFormat="1">
      <c r="A342" s="81" t="s">
        <v>205</v>
      </c>
      <c r="B342" s="82" t="s">
        <v>206</v>
      </c>
      <c r="C342" s="83"/>
      <c r="D342" s="84"/>
      <c r="E342" s="85"/>
      <c r="F342" s="86"/>
      <c r="G342" s="87"/>
      <c r="H342" s="88"/>
      <c r="I342" s="89"/>
    </row>
    <row r="343" spans="1:9" s="2" customFormat="1"/>
    <row r="344" spans="1:9" s="2" customFormat="1"/>
    <row r="345" spans="1:9" s="2" customFormat="1">
      <c r="A345" s="81" t="s">
        <v>207</v>
      </c>
      <c r="B345" s="82" t="s">
        <v>208</v>
      </c>
      <c r="C345" s="83"/>
      <c r="D345" s="84"/>
      <c r="E345" s="85"/>
      <c r="F345" s="86"/>
      <c r="G345" s="87"/>
      <c r="H345" s="88"/>
      <c r="I345" s="89"/>
    </row>
    <row r="346" spans="1:9" s="2" customFormat="1"/>
    <row r="347" spans="1:9" s="2" customFormat="1"/>
    <row r="348" spans="1:9" s="2" customFormat="1">
      <c r="A348" s="81" t="s">
        <v>209</v>
      </c>
      <c r="B348" s="82" t="s">
        <v>210</v>
      </c>
      <c r="C348" s="83"/>
      <c r="D348" s="84"/>
      <c r="E348" s="85"/>
      <c r="F348" s="86"/>
      <c r="G348" s="87"/>
      <c r="H348" s="88"/>
      <c r="I348" s="89"/>
    </row>
    <row r="349" spans="1:9" s="2" customFormat="1">
      <c r="A349" s="90"/>
      <c r="B349" s="91"/>
      <c r="C349" s="92"/>
      <c r="D349" s="93" t="s">
        <v>74</v>
      </c>
      <c r="E349" s="94"/>
      <c r="F349" s="95"/>
      <c r="G349" s="96" t="s">
        <v>91</v>
      </c>
      <c r="H349" s="97"/>
      <c r="I349" s="98"/>
    </row>
    <row r="350" spans="1:9" s="2" customFormat="1"/>
    <row r="351" spans="1:9" s="2" customFormat="1"/>
    <row r="352" spans="1:9" s="2" customFormat="1">
      <c r="A352" s="81" t="s">
        <v>211</v>
      </c>
      <c r="B352" s="82" t="s">
        <v>212</v>
      </c>
      <c r="C352" s="83"/>
      <c r="D352" s="84"/>
      <c r="E352" s="85"/>
      <c r="F352" s="86"/>
      <c r="G352" s="87"/>
      <c r="H352" s="88"/>
      <c r="I352" s="89"/>
    </row>
    <row r="353" spans="1:9" s="2" customFormat="1">
      <c r="A353" s="90"/>
      <c r="B353" s="91"/>
      <c r="C353" s="92"/>
      <c r="D353" s="93" t="s">
        <v>74</v>
      </c>
      <c r="E353" s="94"/>
      <c r="F353" s="95"/>
      <c r="G353" s="96" t="s">
        <v>91</v>
      </c>
      <c r="H353" s="97"/>
      <c r="I353" s="98"/>
    </row>
    <row r="354" spans="1:9" s="2" customFormat="1"/>
    <row r="355" spans="1:9" s="2" customFormat="1"/>
    <row r="356" spans="1:9" s="2" customFormat="1">
      <c r="A356" s="81" t="s">
        <v>213</v>
      </c>
      <c r="B356" s="82" t="s">
        <v>214</v>
      </c>
      <c r="C356" s="83"/>
      <c r="D356" s="84"/>
      <c r="E356" s="85"/>
      <c r="F356" s="86"/>
      <c r="G356" s="87"/>
      <c r="H356" s="88"/>
      <c r="I356" s="89"/>
    </row>
    <row r="357" spans="1:9" s="2" customFormat="1"/>
    <row r="358" spans="1:9" s="2" customFormat="1"/>
    <row r="359" spans="1:9" s="2" customFormat="1">
      <c r="A359" s="81" t="s">
        <v>215</v>
      </c>
      <c r="B359" s="82" t="s">
        <v>441</v>
      </c>
      <c r="C359" s="83"/>
      <c r="D359" s="84"/>
      <c r="E359" s="85"/>
      <c r="F359" s="86"/>
      <c r="G359" s="87"/>
      <c r="H359" s="88"/>
      <c r="I359" s="89"/>
    </row>
    <row r="360" spans="1:9" s="2" customFormat="1">
      <c r="A360" s="99"/>
      <c r="B360" s="100" t="s">
        <v>70</v>
      </c>
      <c r="C360" s="101"/>
      <c r="D360" s="102" t="s">
        <v>89</v>
      </c>
      <c r="E360" s="103" t="s">
        <v>160</v>
      </c>
      <c r="F360" s="104"/>
      <c r="G360" s="105" t="s">
        <v>71</v>
      </c>
      <c r="H360" s="106"/>
      <c r="I360" s="107" t="s">
        <v>72</v>
      </c>
    </row>
    <row r="361" spans="1:9" s="2" customFormat="1">
      <c r="A361" s="108"/>
      <c r="B361" s="109"/>
      <c r="C361" s="110"/>
      <c r="D361" s="111"/>
      <c r="E361" s="112"/>
      <c r="F361" s="113"/>
      <c r="G361" s="114"/>
      <c r="H361" s="115"/>
      <c r="I361" s="118">
        <f t="shared" ref="I361:I364" si="7">ROUND(PRODUCT(ROUND(PRODUCT(D361,E361,F361),2),G361,H361),2)</f>
        <v>0</v>
      </c>
    </row>
    <row r="362" spans="1:9" customFormat="1">
      <c r="A362" s="129"/>
      <c r="B362" s="130" t="s">
        <v>399</v>
      </c>
      <c r="C362" s="131" t="s">
        <v>417</v>
      </c>
      <c r="D362" s="132">
        <v>11.5</v>
      </c>
      <c r="E362" s="138">
        <v>6</v>
      </c>
      <c r="F362" s="134"/>
      <c r="G362" s="135"/>
      <c r="H362" s="136"/>
      <c r="I362" s="137">
        <f t="shared" ref="I362:I363" si="8">ROUND(PRODUCT(ROUND(PRODUCT(D362,E362,F362),3),G362,H362),3)</f>
        <v>69</v>
      </c>
    </row>
    <row r="363" spans="1:9" customFormat="1">
      <c r="A363" s="129"/>
      <c r="B363" s="130"/>
      <c r="C363" s="131"/>
      <c r="D363" s="132"/>
      <c r="E363" s="138"/>
      <c r="F363" s="134"/>
      <c r="G363" s="135"/>
      <c r="H363" s="136"/>
      <c r="I363" s="137">
        <f t="shared" si="8"/>
        <v>0</v>
      </c>
    </row>
    <row r="364" spans="1:9" s="2" customFormat="1">
      <c r="A364" s="108"/>
      <c r="B364" s="109"/>
      <c r="C364" s="110"/>
      <c r="D364" s="111"/>
      <c r="E364" s="112"/>
      <c r="F364" s="113"/>
      <c r="G364" s="114"/>
      <c r="H364" s="115"/>
      <c r="I364" s="118">
        <f t="shared" si="7"/>
        <v>0</v>
      </c>
    </row>
    <row r="365" spans="1:9" s="2" customFormat="1">
      <c r="A365" s="90"/>
      <c r="B365" s="91"/>
      <c r="C365" s="92"/>
      <c r="D365" s="93" t="s">
        <v>74</v>
      </c>
      <c r="E365" s="94"/>
      <c r="F365" s="95"/>
      <c r="G365" s="96" t="s">
        <v>75</v>
      </c>
      <c r="H365" s="97" t="s">
        <v>168</v>
      </c>
      <c r="I365" s="119">
        <f>SUBTOTAL(9,I361:I364)</f>
        <v>69</v>
      </c>
    </row>
    <row r="366" spans="1:9" s="2" customFormat="1"/>
    <row r="367" spans="1:9" s="2" customFormat="1"/>
    <row r="368" spans="1:9" s="2" customFormat="1">
      <c r="A368" s="81" t="s">
        <v>216</v>
      </c>
      <c r="B368" s="82" t="s">
        <v>440</v>
      </c>
      <c r="C368" s="83"/>
      <c r="D368" s="84"/>
      <c r="E368" s="85"/>
      <c r="F368" s="86"/>
      <c r="G368" s="87"/>
      <c r="H368" s="88"/>
      <c r="I368" s="89"/>
    </row>
    <row r="369" spans="1:9" s="2" customFormat="1">
      <c r="A369" s="99"/>
      <c r="B369" s="100" t="s">
        <v>70</v>
      </c>
      <c r="C369" s="101"/>
      <c r="D369" s="102" t="s">
        <v>89</v>
      </c>
      <c r="E369" s="103" t="s">
        <v>160</v>
      </c>
      <c r="F369" s="104"/>
      <c r="G369" s="105" t="s">
        <v>71</v>
      </c>
      <c r="H369" s="106"/>
      <c r="I369" s="107" t="s">
        <v>72</v>
      </c>
    </row>
    <row r="370" spans="1:9" s="2" customFormat="1">
      <c r="A370" s="108"/>
      <c r="B370" s="109"/>
      <c r="C370" s="110"/>
      <c r="D370" s="111"/>
      <c r="E370" s="112"/>
      <c r="F370" s="113"/>
      <c r="G370" s="114"/>
      <c r="H370" s="115"/>
      <c r="I370" s="118">
        <f t="shared" ref="I370:I373" si="9">ROUND(PRODUCT(ROUND(PRODUCT(D370,E370,F370),2),G370,H370),2)</f>
        <v>0</v>
      </c>
    </row>
    <row r="371" spans="1:9" s="2" customFormat="1">
      <c r="A371" s="108"/>
      <c r="B371" s="109"/>
      <c r="C371" s="131" t="s">
        <v>418</v>
      </c>
      <c r="D371" s="132">
        <v>4</v>
      </c>
      <c r="E371" s="138">
        <v>6</v>
      </c>
      <c r="F371" s="134"/>
      <c r="G371" s="114"/>
      <c r="H371" s="115"/>
      <c r="I371" s="118">
        <f t="shared" si="9"/>
        <v>24</v>
      </c>
    </row>
    <row r="372" spans="1:9" s="2" customFormat="1">
      <c r="A372" s="108"/>
      <c r="B372" s="109"/>
      <c r="C372" s="110"/>
      <c r="D372" s="111"/>
      <c r="E372" s="112"/>
      <c r="F372" s="113"/>
      <c r="G372" s="114"/>
      <c r="H372" s="115"/>
      <c r="I372" s="118">
        <f t="shared" si="9"/>
        <v>0</v>
      </c>
    </row>
    <row r="373" spans="1:9" s="2" customFormat="1">
      <c r="A373" s="108"/>
      <c r="B373" s="109"/>
      <c r="C373" s="110"/>
      <c r="D373" s="111"/>
      <c r="E373" s="112"/>
      <c r="F373" s="113"/>
      <c r="G373" s="114"/>
      <c r="H373" s="115"/>
      <c r="I373" s="118">
        <f t="shared" si="9"/>
        <v>0</v>
      </c>
    </row>
    <row r="374" spans="1:9" s="2" customFormat="1">
      <c r="A374" s="90"/>
      <c r="B374" s="91"/>
      <c r="C374" s="92"/>
      <c r="D374" s="93" t="s">
        <v>74</v>
      </c>
      <c r="E374" s="94"/>
      <c r="F374" s="95"/>
      <c r="G374" s="96" t="s">
        <v>75</v>
      </c>
      <c r="H374" s="97" t="s">
        <v>168</v>
      </c>
      <c r="I374" s="119">
        <f>SUBTOTAL(9,I370:I373)</f>
        <v>24</v>
      </c>
    </row>
    <row r="375" spans="1:9" s="2" customFormat="1"/>
    <row r="376" spans="1:9" s="2" customFormat="1"/>
    <row r="377" spans="1:9" s="2" customFormat="1">
      <c r="A377" s="81" t="s">
        <v>217</v>
      </c>
      <c r="B377" s="82" t="s">
        <v>218</v>
      </c>
      <c r="C377" s="83"/>
      <c r="D377" s="84"/>
      <c r="E377" s="85"/>
      <c r="F377" s="86"/>
      <c r="G377" s="87"/>
      <c r="H377" s="88"/>
      <c r="I377" s="89"/>
    </row>
    <row r="378" spans="1:9" s="2" customFormat="1"/>
    <row r="379" spans="1:9" s="2" customFormat="1"/>
    <row r="380" spans="1:9" s="2" customFormat="1">
      <c r="A380" s="81" t="s">
        <v>219</v>
      </c>
      <c r="B380" s="82" t="s">
        <v>220</v>
      </c>
      <c r="C380" s="83"/>
      <c r="D380" s="84"/>
      <c r="E380" s="85"/>
      <c r="F380" s="86"/>
      <c r="G380" s="87"/>
      <c r="H380" s="88"/>
      <c r="I380" s="89"/>
    </row>
    <row r="381" spans="1:9" s="2" customFormat="1"/>
    <row r="382" spans="1:9" s="2" customFormat="1"/>
    <row r="383" spans="1:9" s="2" customFormat="1">
      <c r="A383" s="81" t="s">
        <v>221</v>
      </c>
      <c r="B383" s="82" t="s">
        <v>222</v>
      </c>
      <c r="C383" s="83"/>
      <c r="D383" s="84"/>
      <c r="E383" s="85"/>
      <c r="F383" s="86"/>
      <c r="G383" s="87"/>
      <c r="H383" s="88"/>
      <c r="I383" s="89"/>
    </row>
    <row r="384" spans="1:9" s="2" customFormat="1"/>
    <row r="385" spans="1:9" s="2" customFormat="1"/>
    <row r="386" spans="1:9" s="2" customFormat="1">
      <c r="A386" s="81" t="s">
        <v>223</v>
      </c>
      <c r="B386" s="82" t="s">
        <v>454</v>
      </c>
      <c r="C386" s="83"/>
      <c r="D386" s="84"/>
      <c r="E386" s="85"/>
      <c r="F386" s="86"/>
      <c r="G386" s="87"/>
      <c r="H386" s="88"/>
      <c r="I386" s="89"/>
    </row>
    <row r="387" spans="1:9" s="2" customFormat="1">
      <c r="A387" s="99"/>
      <c r="B387" s="100" t="s">
        <v>70</v>
      </c>
      <c r="C387" s="101"/>
      <c r="D387" s="102" t="s">
        <v>89</v>
      </c>
      <c r="E387" s="103" t="s">
        <v>160</v>
      </c>
      <c r="F387" s="104"/>
      <c r="G387" s="105" t="s">
        <v>71</v>
      </c>
      <c r="H387" s="106"/>
      <c r="I387" s="107" t="s">
        <v>72</v>
      </c>
    </row>
    <row r="388" spans="1:9" s="2" customFormat="1">
      <c r="A388" s="108"/>
      <c r="B388" s="109"/>
      <c r="C388" s="110"/>
      <c r="D388" s="111"/>
      <c r="E388" s="112"/>
      <c r="F388" s="113"/>
      <c r="G388" s="114"/>
      <c r="H388" s="115"/>
      <c r="I388" s="118">
        <f t="shared" ref="I388:I391" si="10">ROUND(PRODUCT(ROUND(PRODUCT(D388,E388,F388),2),G388,H388),2)</f>
        <v>0</v>
      </c>
    </row>
    <row r="389" spans="1:9" s="2" customFormat="1">
      <c r="A389" s="108"/>
      <c r="B389" s="109"/>
      <c r="C389" s="110"/>
      <c r="D389" s="111"/>
      <c r="E389" s="112"/>
      <c r="F389" s="113"/>
      <c r="G389" s="114"/>
      <c r="H389" s="115"/>
      <c r="I389" s="118">
        <f>I251</f>
        <v>219.56</v>
      </c>
    </row>
    <row r="390" spans="1:9" s="2" customFormat="1">
      <c r="A390" s="108"/>
      <c r="B390" s="109"/>
      <c r="C390" s="110"/>
      <c r="D390" s="111"/>
      <c r="E390" s="112"/>
      <c r="F390" s="113"/>
      <c r="G390" s="114"/>
      <c r="H390" s="115"/>
      <c r="I390" s="118">
        <f t="shared" si="10"/>
        <v>0</v>
      </c>
    </row>
    <row r="391" spans="1:9" s="2" customFormat="1">
      <c r="A391" s="108"/>
      <c r="B391" s="109"/>
      <c r="C391" s="110"/>
      <c r="D391" s="111"/>
      <c r="E391" s="112"/>
      <c r="F391" s="113"/>
      <c r="G391" s="114"/>
      <c r="H391" s="115"/>
      <c r="I391" s="118">
        <f t="shared" si="10"/>
        <v>0</v>
      </c>
    </row>
    <row r="392" spans="1:9" s="2" customFormat="1">
      <c r="A392" s="90"/>
      <c r="B392" s="91"/>
      <c r="C392" s="92"/>
      <c r="D392" s="93" t="s">
        <v>74</v>
      </c>
      <c r="E392" s="94"/>
      <c r="F392" s="95"/>
      <c r="G392" s="96" t="s">
        <v>75</v>
      </c>
      <c r="H392" s="97" t="s">
        <v>168</v>
      </c>
      <c r="I392" s="119">
        <f>SUBTOTAL(9,I388:I391)</f>
        <v>219.56</v>
      </c>
    </row>
    <row r="393" spans="1:9" s="2" customFormat="1"/>
    <row r="394" spans="1:9" s="2" customFormat="1"/>
    <row r="395" spans="1:9" s="2" customFormat="1">
      <c r="A395" s="81" t="s">
        <v>224</v>
      </c>
      <c r="B395" s="82" t="s">
        <v>225</v>
      </c>
      <c r="C395" s="83"/>
      <c r="D395" s="84"/>
      <c r="E395" s="85"/>
      <c r="F395" s="86"/>
      <c r="G395" s="87"/>
      <c r="H395" s="88"/>
      <c r="I395" s="89"/>
    </row>
    <row r="396" spans="1:9" s="2" customFormat="1"/>
    <row r="397" spans="1:9" s="2" customFormat="1"/>
    <row r="398" spans="1:9" s="2" customFormat="1">
      <c r="A398" s="81" t="s">
        <v>226</v>
      </c>
      <c r="B398" s="82" t="s">
        <v>227</v>
      </c>
      <c r="C398" s="83"/>
      <c r="D398" s="84"/>
      <c r="E398" s="85"/>
      <c r="F398" s="86"/>
      <c r="G398" s="87"/>
      <c r="H398" s="88"/>
      <c r="I398" s="89"/>
    </row>
    <row r="399" spans="1:9" s="2" customFormat="1"/>
    <row r="400" spans="1:9" s="2" customFormat="1"/>
    <row r="401" spans="1:9" s="2" customFormat="1">
      <c r="A401" s="81" t="s">
        <v>228</v>
      </c>
      <c r="B401" s="82" t="s">
        <v>453</v>
      </c>
      <c r="C401" s="83"/>
      <c r="D401" s="84"/>
      <c r="E401" s="85"/>
      <c r="F401" s="86"/>
      <c r="G401" s="87"/>
      <c r="H401" s="88"/>
      <c r="I401" s="89"/>
    </row>
    <row r="402" spans="1:9" s="2" customFormat="1">
      <c r="A402" s="90"/>
      <c r="B402" s="91"/>
      <c r="C402" s="92"/>
      <c r="D402" s="93" t="s">
        <v>74</v>
      </c>
      <c r="E402" s="94"/>
      <c r="F402" s="95"/>
      <c r="G402" s="96" t="s">
        <v>91</v>
      </c>
      <c r="H402" s="97"/>
      <c r="I402" s="98"/>
    </row>
    <row r="403" spans="1:9" s="2" customFormat="1"/>
    <row r="404" spans="1:9" s="2" customFormat="1"/>
    <row r="405" spans="1:9" s="2" customFormat="1">
      <c r="A405" s="81" t="s">
        <v>229</v>
      </c>
      <c r="B405" s="82" t="s">
        <v>230</v>
      </c>
      <c r="C405" s="83"/>
      <c r="D405" s="84"/>
      <c r="E405" s="85"/>
      <c r="F405" s="86"/>
      <c r="G405" s="87"/>
      <c r="H405" s="88"/>
      <c r="I405" s="89"/>
    </row>
    <row r="406" spans="1:9" s="2" customFormat="1"/>
    <row r="407" spans="1:9" s="2" customFormat="1"/>
    <row r="408" spans="1:9" s="2" customFormat="1">
      <c r="A408" s="81" t="s">
        <v>231</v>
      </c>
      <c r="B408" s="82" t="s">
        <v>232</v>
      </c>
      <c r="C408" s="83"/>
      <c r="D408" s="84"/>
      <c r="E408" s="85"/>
      <c r="F408" s="86"/>
      <c r="G408" s="87"/>
      <c r="H408" s="88"/>
      <c r="I408" s="89"/>
    </row>
    <row r="409" spans="1:9" s="2" customFormat="1"/>
    <row r="410" spans="1:9" s="2" customFormat="1"/>
    <row r="411" spans="1:9" s="2" customFormat="1">
      <c r="A411" s="81" t="s">
        <v>233</v>
      </c>
      <c r="B411" s="82" t="s">
        <v>234</v>
      </c>
      <c r="C411" s="83"/>
      <c r="D411" s="84"/>
      <c r="E411" s="85"/>
      <c r="F411" s="86"/>
      <c r="G411" s="87"/>
      <c r="H411" s="88"/>
      <c r="I411" s="89"/>
    </row>
    <row r="412" spans="1:9" s="2" customFormat="1"/>
    <row r="413" spans="1:9" s="2" customFormat="1"/>
    <row r="414" spans="1:9" s="2" customFormat="1">
      <c r="A414" s="81" t="s">
        <v>235</v>
      </c>
      <c r="B414" s="82" t="s">
        <v>452</v>
      </c>
      <c r="C414" s="83"/>
      <c r="D414" s="84"/>
      <c r="E414" s="85"/>
      <c r="F414" s="86"/>
      <c r="G414" s="87"/>
      <c r="H414" s="88"/>
      <c r="I414" s="89"/>
    </row>
    <row r="415" spans="1:9" s="2" customFormat="1">
      <c r="A415" s="99"/>
      <c r="B415" s="100" t="s">
        <v>70</v>
      </c>
      <c r="C415" s="101"/>
      <c r="D415" s="102" t="s">
        <v>89</v>
      </c>
      <c r="E415" s="103" t="s">
        <v>160</v>
      </c>
      <c r="F415" s="104" t="s">
        <v>161</v>
      </c>
      <c r="G415" s="105" t="s">
        <v>71</v>
      </c>
      <c r="H415" s="106"/>
      <c r="I415" s="107" t="s">
        <v>72</v>
      </c>
    </row>
    <row r="416" spans="1:9" s="2" customFormat="1">
      <c r="A416" s="108"/>
      <c r="B416" s="109"/>
      <c r="C416" s="110"/>
      <c r="D416" s="111"/>
      <c r="E416" s="112"/>
      <c r="F416" s="113"/>
      <c r="G416" s="114"/>
      <c r="H416" s="115"/>
      <c r="I416" s="116">
        <f t="shared" ref="I416:I419" si="11">ROUND(PRODUCT(ROUND(PRODUCT(D416,E416,F416),3),G416,H416),3)</f>
        <v>0</v>
      </c>
    </row>
    <row r="417" spans="1:9" s="2" customFormat="1">
      <c r="A417" s="108"/>
      <c r="B417" s="109"/>
      <c r="C417" s="110"/>
      <c r="D417" s="111"/>
      <c r="E417" s="144">
        <f>I389</f>
        <v>219.56</v>
      </c>
      <c r="F417" s="113">
        <v>0.25</v>
      </c>
      <c r="G417" s="114"/>
      <c r="H417" s="115"/>
      <c r="I417" s="116">
        <f t="shared" si="11"/>
        <v>54.89</v>
      </c>
    </row>
    <row r="418" spans="1:9" s="2" customFormat="1">
      <c r="A418" s="108"/>
      <c r="B418" s="109"/>
      <c r="C418" s="110"/>
      <c r="D418" s="111"/>
      <c r="E418" s="112"/>
      <c r="F418" s="113"/>
      <c r="G418" s="114"/>
      <c r="H418" s="115"/>
      <c r="I418" s="116">
        <f t="shared" si="11"/>
        <v>0</v>
      </c>
    </row>
    <row r="419" spans="1:9" s="2" customFormat="1">
      <c r="A419" s="108"/>
      <c r="B419" s="109"/>
      <c r="C419" s="110"/>
      <c r="D419" s="111"/>
      <c r="E419" s="112"/>
      <c r="F419" s="113"/>
      <c r="G419" s="114"/>
      <c r="H419" s="115"/>
      <c r="I419" s="116">
        <f t="shared" si="11"/>
        <v>0</v>
      </c>
    </row>
    <row r="420" spans="1:9" s="2" customFormat="1">
      <c r="A420" s="90"/>
      <c r="B420" s="91"/>
      <c r="C420" s="92"/>
      <c r="D420" s="93" t="s">
        <v>74</v>
      </c>
      <c r="E420" s="94"/>
      <c r="F420" s="95"/>
      <c r="G420" s="96" t="s">
        <v>75</v>
      </c>
      <c r="H420" s="97" t="s">
        <v>162</v>
      </c>
      <c r="I420" s="117">
        <f>SUBTOTAL(9,I416:I419)</f>
        <v>54.89</v>
      </c>
    </row>
    <row r="421" spans="1:9" s="2" customFormat="1"/>
    <row r="422" spans="1:9" s="2" customFormat="1"/>
    <row r="423" spans="1:9" s="2" customFormat="1">
      <c r="A423" s="81" t="s">
        <v>236</v>
      </c>
      <c r="B423" s="82" t="s">
        <v>237</v>
      </c>
      <c r="C423" s="83"/>
      <c r="D423" s="84"/>
      <c r="E423" s="85"/>
      <c r="F423" s="86"/>
      <c r="G423" s="87"/>
      <c r="H423" s="88"/>
      <c r="I423" s="89"/>
    </row>
    <row r="424" spans="1:9" s="2" customFormat="1"/>
    <row r="425" spans="1:9" s="2" customFormat="1"/>
    <row r="426" spans="1:9" s="2" customFormat="1">
      <c r="A426" s="81" t="s">
        <v>238</v>
      </c>
      <c r="B426" s="82" t="s">
        <v>239</v>
      </c>
      <c r="C426" s="83"/>
      <c r="D426" s="84"/>
      <c r="E426" s="85"/>
      <c r="F426" s="86"/>
      <c r="G426" s="87"/>
      <c r="H426" s="88"/>
      <c r="I426" s="89"/>
    </row>
    <row r="427" spans="1:9" s="2" customFormat="1"/>
    <row r="428" spans="1:9" s="2" customFormat="1"/>
    <row r="429" spans="1:9" s="2" customFormat="1">
      <c r="A429" s="81" t="s">
        <v>240</v>
      </c>
      <c r="B429" s="82" t="s">
        <v>241</v>
      </c>
      <c r="C429" s="83"/>
      <c r="D429" s="84"/>
      <c r="E429" s="85"/>
      <c r="F429" s="86"/>
      <c r="G429" s="87"/>
      <c r="H429" s="88"/>
      <c r="I429" s="89"/>
    </row>
    <row r="430" spans="1:9" s="2" customFormat="1"/>
    <row r="431" spans="1:9" s="2" customFormat="1"/>
    <row r="432" spans="1:9" s="2" customFormat="1">
      <c r="A432" s="81" t="s">
        <v>242</v>
      </c>
      <c r="B432" s="82" t="s">
        <v>243</v>
      </c>
      <c r="C432" s="83"/>
      <c r="D432" s="84"/>
      <c r="E432" s="85"/>
      <c r="F432" s="86"/>
      <c r="G432" s="87"/>
      <c r="H432" s="88"/>
      <c r="I432" s="89"/>
    </row>
    <row r="433" spans="1:9" s="2" customFormat="1"/>
    <row r="434" spans="1:9" s="2" customFormat="1"/>
    <row r="435" spans="1:9" s="2" customFormat="1">
      <c r="A435" s="81" t="s">
        <v>244</v>
      </c>
      <c r="B435" s="82" t="s">
        <v>245</v>
      </c>
      <c r="C435" s="83"/>
      <c r="D435" s="84"/>
      <c r="E435" s="85"/>
      <c r="F435" s="86"/>
      <c r="G435" s="87"/>
      <c r="H435" s="88"/>
      <c r="I435" s="89"/>
    </row>
    <row r="436" spans="1:9" s="2" customFormat="1"/>
    <row r="437" spans="1:9" s="2" customFormat="1"/>
    <row r="438" spans="1:9" s="2" customFormat="1">
      <c r="A438" s="81" t="s">
        <v>246</v>
      </c>
      <c r="B438" s="82" t="s">
        <v>442</v>
      </c>
      <c r="C438" s="83"/>
      <c r="D438" s="84"/>
      <c r="E438" s="85"/>
      <c r="F438" s="86"/>
      <c r="G438" s="87"/>
      <c r="H438" s="88"/>
      <c r="I438" s="89"/>
    </row>
    <row r="439" spans="1:9" s="2" customFormat="1">
      <c r="A439" s="99"/>
      <c r="B439" s="100" t="s">
        <v>70</v>
      </c>
      <c r="C439" s="101"/>
      <c r="D439" s="102" t="s">
        <v>89</v>
      </c>
      <c r="E439" s="103"/>
      <c r="F439" s="104"/>
      <c r="G439" s="105" t="s">
        <v>71</v>
      </c>
      <c r="H439" s="106"/>
      <c r="I439" s="107" t="s">
        <v>72</v>
      </c>
    </row>
    <row r="440" spans="1:9" s="2" customFormat="1">
      <c r="A440" s="108"/>
      <c r="B440" s="109"/>
      <c r="C440" s="110"/>
      <c r="D440" s="111"/>
      <c r="E440" s="112"/>
      <c r="F440" s="113"/>
      <c r="G440" s="114"/>
      <c r="H440" s="115"/>
      <c r="I440" s="118">
        <f t="shared" ref="I440:I447" si="12">ROUND(PRODUCT(ROUND(PRODUCT(D440,E440,F440),2),G440,H440),2)</f>
        <v>0</v>
      </c>
    </row>
    <row r="441" spans="1:9" s="2" customFormat="1">
      <c r="A441" s="108"/>
      <c r="B441" s="109" t="s">
        <v>432</v>
      </c>
      <c r="C441" s="110"/>
      <c r="D441" s="111">
        <f>10+2</f>
        <v>12</v>
      </c>
      <c r="E441" s="112"/>
      <c r="F441" s="113"/>
      <c r="G441" s="114"/>
      <c r="H441" s="115"/>
      <c r="I441" s="118">
        <f t="shared" si="12"/>
        <v>12</v>
      </c>
    </row>
    <row r="442" spans="1:9" s="2" customFormat="1">
      <c r="A442" s="108"/>
      <c r="B442" s="109" t="s">
        <v>433</v>
      </c>
      <c r="C442" s="110"/>
      <c r="D442" s="111">
        <f>10+4</f>
        <v>14</v>
      </c>
      <c r="E442" s="112"/>
      <c r="F442" s="113"/>
      <c r="G442" s="114"/>
      <c r="H442" s="115"/>
      <c r="I442" s="118">
        <f t="shared" ref="I442:I444" si="13">ROUND(PRODUCT(ROUND(PRODUCT(D442,E442,F442),2),G442,H442),2)</f>
        <v>14</v>
      </c>
    </row>
    <row r="443" spans="1:9" s="2" customFormat="1">
      <c r="A443" s="108"/>
      <c r="B443" s="109"/>
      <c r="C443" s="110"/>
      <c r="D443" s="111">
        <f>15+4</f>
        <v>19</v>
      </c>
      <c r="E443" s="112"/>
      <c r="F443" s="113"/>
      <c r="G443" s="114"/>
      <c r="H443" s="115"/>
      <c r="I443" s="118">
        <f t="shared" si="13"/>
        <v>19</v>
      </c>
    </row>
    <row r="444" spans="1:9" s="2" customFormat="1">
      <c r="A444" s="108"/>
      <c r="B444" s="109"/>
      <c r="C444" s="110"/>
      <c r="D444" s="111">
        <f>4+2</f>
        <v>6</v>
      </c>
      <c r="E444" s="112"/>
      <c r="F444" s="113"/>
      <c r="G444" s="114"/>
      <c r="H444" s="115"/>
      <c r="I444" s="118">
        <f t="shared" si="13"/>
        <v>6</v>
      </c>
    </row>
    <row r="445" spans="1:9" s="2" customFormat="1">
      <c r="A445" s="108"/>
      <c r="B445" s="109" t="s">
        <v>434</v>
      </c>
      <c r="C445" s="110"/>
      <c r="D445" s="111">
        <f>50+5</f>
        <v>55</v>
      </c>
      <c r="E445" s="112"/>
      <c r="F445" s="113"/>
      <c r="G445" s="114"/>
      <c r="H445" s="115"/>
      <c r="I445" s="118">
        <f t="shared" si="12"/>
        <v>55</v>
      </c>
    </row>
    <row r="446" spans="1:9" s="2" customFormat="1">
      <c r="A446" s="108"/>
      <c r="B446" s="109"/>
      <c r="C446" s="110"/>
      <c r="D446" s="111">
        <f>15+3</f>
        <v>18</v>
      </c>
      <c r="E446" s="112"/>
      <c r="F446" s="113"/>
      <c r="G446" s="114"/>
      <c r="H446" s="115"/>
      <c r="I446" s="118">
        <f t="shared" ref="I446" si="14">ROUND(PRODUCT(ROUND(PRODUCT(D446,E446,F446),2),G446,H446),2)</f>
        <v>18</v>
      </c>
    </row>
    <row r="447" spans="1:9" s="2" customFormat="1">
      <c r="A447" s="108"/>
      <c r="B447" s="109"/>
      <c r="C447" s="110"/>
      <c r="D447" s="111">
        <f>25+8</f>
        <v>33</v>
      </c>
      <c r="E447" s="112"/>
      <c r="F447" s="113"/>
      <c r="G447" s="114"/>
      <c r="H447" s="115"/>
      <c r="I447" s="118">
        <f t="shared" si="12"/>
        <v>33</v>
      </c>
    </row>
    <row r="448" spans="1:9" s="2" customFormat="1">
      <c r="A448" s="90"/>
      <c r="B448" s="91"/>
      <c r="C448" s="92"/>
      <c r="D448" s="93" t="s">
        <v>74</v>
      </c>
      <c r="E448" s="94"/>
      <c r="F448" s="95"/>
      <c r="G448" s="96" t="s">
        <v>75</v>
      </c>
      <c r="H448" s="97" t="s">
        <v>90</v>
      </c>
      <c r="I448" s="119">
        <f>SUBTOTAL(9,I440:I447)</f>
        <v>157</v>
      </c>
    </row>
    <row r="449" spans="1:9" s="2" customFormat="1"/>
    <row r="450" spans="1:9" s="2" customFormat="1"/>
    <row r="451" spans="1:9" s="2" customFormat="1">
      <c r="A451" s="81" t="s">
        <v>247</v>
      </c>
      <c r="B451" s="82" t="s">
        <v>443</v>
      </c>
      <c r="C451" s="83"/>
      <c r="D451" s="84"/>
      <c r="E451" s="85"/>
      <c r="F451" s="86"/>
      <c r="G451" s="87"/>
      <c r="H451" s="88"/>
      <c r="I451" s="89"/>
    </row>
    <row r="452" spans="1:9" s="2" customFormat="1">
      <c r="A452" s="99"/>
      <c r="B452" s="100" t="s">
        <v>70</v>
      </c>
      <c r="C452" s="101"/>
      <c r="D452" s="102" t="s">
        <v>89</v>
      </c>
      <c r="E452" s="103"/>
      <c r="F452" s="104"/>
      <c r="G452" s="105" t="s">
        <v>71</v>
      </c>
      <c r="H452" s="106"/>
      <c r="I452" s="107" t="s">
        <v>72</v>
      </c>
    </row>
    <row r="453" spans="1:9" s="2" customFormat="1">
      <c r="A453" s="108"/>
      <c r="B453" s="109"/>
      <c r="C453" s="110"/>
      <c r="D453" s="111"/>
      <c r="E453" s="112"/>
      <c r="F453" s="113"/>
      <c r="G453" s="114"/>
      <c r="H453" s="115"/>
      <c r="I453" s="118">
        <f t="shared" ref="I453:I458" si="15">ROUND(PRODUCT(ROUND(PRODUCT(D453,E453,F453),2),G453,H453),2)</f>
        <v>0</v>
      </c>
    </row>
    <row r="454" spans="1:9" s="2" customFormat="1">
      <c r="A454" s="108"/>
      <c r="B454" s="109" t="s">
        <v>432</v>
      </c>
      <c r="C454" s="110"/>
      <c r="D454" s="111">
        <f>7+3</f>
        <v>10</v>
      </c>
      <c r="E454" s="112"/>
      <c r="F454" s="113"/>
      <c r="G454" s="114"/>
      <c r="H454" s="115"/>
      <c r="I454" s="118"/>
    </row>
    <row r="455" spans="1:9" s="2" customFormat="1">
      <c r="A455" s="108"/>
      <c r="B455" s="109"/>
      <c r="C455" s="110"/>
      <c r="D455" s="111">
        <v>2</v>
      </c>
      <c r="E455" s="112"/>
      <c r="F455" s="113"/>
      <c r="G455" s="114"/>
      <c r="H455" s="115"/>
      <c r="I455" s="118">
        <f t="shared" ref="I455" si="16">ROUND(PRODUCT(ROUND(PRODUCT(D455,E455,F455),2),G455,H455),2)</f>
        <v>2</v>
      </c>
    </row>
    <row r="456" spans="1:9" s="2" customFormat="1">
      <c r="A456" s="108"/>
      <c r="B456" s="109" t="s">
        <v>433</v>
      </c>
      <c r="C456" s="110"/>
      <c r="D456" s="111"/>
      <c r="E456" s="112"/>
      <c r="F456" s="113"/>
      <c r="G456" s="114"/>
      <c r="H456" s="115"/>
      <c r="I456" s="118">
        <f t="shared" si="15"/>
        <v>0</v>
      </c>
    </row>
    <row r="457" spans="1:9" s="2" customFormat="1">
      <c r="A457" s="108"/>
      <c r="B457" s="109" t="s">
        <v>434</v>
      </c>
      <c r="C457" s="110"/>
      <c r="D457" s="111">
        <f>10+3</f>
        <v>13</v>
      </c>
      <c r="E457" s="112"/>
      <c r="F457" s="113"/>
      <c r="G457" s="114"/>
      <c r="H457" s="115"/>
      <c r="I457" s="118">
        <f t="shared" si="15"/>
        <v>13</v>
      </c>
    </row>
    <row r="458" spans="1:9" s="2" customFormat="1">
      <c r="A458" s="108"/>
      <c r="B458" s="109"/>
      <c r="C458" s="110"/>
      <c r="D458" s="111">
        <v>3</v>
      </c>
      <c r="E458" s="112"/>
      <c r="F458" s="113"/>
      <c r="G458" s="114"/>
      <c r="H458" s="115"/>
      <c r="I458" s="118">
        <f t="shared" si="15"/>
        <v>3</v>
      </c>
    </row>
    <row r="459" spans="1:9" s="2" customFormat="1">
      <c r="A459" s="90"/>
      <c r="B459" s="91"/>
      <c r="C459" s="92"/>
      <c r="D459" s="93" t="s">
        <v>74</v>
      </c>
      <c r="E459" s="94"/>
      <c r="F459" s="95"/>
      <c r="G459" s="96" t="s">
        <v>75</v>
      </c>
      <c r="H459" s="97" t="s">
        <v>90</v>
      </c>
      <c r="I459" s="119">
        <f>SUBTOTAL(9,I453:I458)</f>
        <v>18</v>
      </c>
    </row>
    <row r="460" spans="1:9" s="2" customFormat="1"/>
    <row r="461" spans="1:9" s="2" customFormat="1"/>
    <row r="462" spans="1:9" s="2" customFormat="1">
      <c r="A462" s="81" t="s">
        <v>248</v>
      </c>
      <c r="B462" s="82" t="s">
        <v>444</v>
      </c>
      <c r="C462" s="83"/>
      <c r="D462" s="84"/>
      <c r="E462" s="85"/>
      <c r="F462" s="86"/>
      <c r="G462" s="87"/>
      <c r="H462" s="88"/>
      <c r="I462" s="89"/>
    </row>
    <row r="463" spans="1:9" s="2" customFormat="1">
      <c r="A463" s="99"/>
      <c r="B463" s="100" t="s">
        <v>70</v>
      </c>
      <c r="C463" s="101"/>
      <c r="D463" s="102" t="s">
        <v>89</v>
      </c>
      <c r="E463" s="103"/>
      <c r="F463" s="104"/>
      <c r="G463" s="105" t="s">
        <v>71</v>
      </c>
      <c r="H463" s="106"/>
      <c r="I463" s="107" t="s">
        <v>72</v>
      </c>
    </row>
    <row r="464" spans="1:9" s="2" customFormat="1">
      <c r="A464" s="108"/>
      <c r="B464" s="109"/>
      <c r="C464" s="110"/>
      <c r="D464" s="111"/>
      <c r="E464" s="112"/>
      <c r="F464" s="113"/>
      <c r="G464" s="114"/>
      <c r="H464" s="115"/>
      <c r="I464" s="118">
        <f t="shared" ref="I464:I467" si="17">ROUND(PRODUCT(ROUND(PRODUCT(D464,E464,F464),2),G464,H464),2)</f>
        <v>0</v>
      </c>
    </row>
    <row r="465" spans="1:9" s="2" customFormat="1">
      <c r="A465" s="108"/>
      <c r="B465" s="109" t="s">
        <v>433</v>
      </c>
      <c r="C465" s="110"/>
      <c r="D465" s="111">
        <f>22+3</f>
        <v>25</v>
      </c>
      <c r="E465" s="112"/>
      <c r="F465" s="113"/>
      <c r="G465" s="114"/>
      <c r="H465" s="115"/>
      <c r="I465" s="118">
        <f t="shared" si="17"/>
        <v>25</v>
      </c>
    </row>
    <row r="466" spans="1:9" s="2" customFormat="1">
      <c r="A466" s="108"/>
      <c r="B466" s="109" t="s">
        <v>434</v>
      </c>
      <c r="C466" s="110"/>
      <c r="D466" s="111">
        <v>10</v>
      </c>
      <c r="E466" s="112"/>
      <c r="F466" s="113"/>
      <c r="G466" s="114"/>
      <c r="H466" s="115"/>
      <c r="I466" s="118">
        <f t="shared" si="17"/>
        <v>10</v>
      </c>
    </row>
    <row r="467" spans="1:9" s="2" customFormat="1">
      <c r="A467" s="108"/>
      <c r="B467" s="109"/>
      <c r="C467" s="110"/>
      <c r="D467" s="111">
        <v>17</v>
      </c>
      <c r="E467" s="112"/>
      <c r="F467" s="113"/>
      <c r="G467" s="114"/>
      <c r="H467" s="115"/>
      <c r="I467" s="118">
        <f t="shared" si="17"/>
        <v>17</v>
      </c>
    </row>
    <row r="468" spans="1:9" s="2" customFormat="1">
      <c r="A468" s="90"/>
      <c r="B468" s="91"/>
      <c r="C468" s="92"/>
      <c r="D468" s="93" t="s">
        <v>74</v>
      </c>
      <c r="E468" s="94"/>
      <c r="F468" s="95"/>
      <c r="G468" s="96" t="s">
        <v>75</v>
      </c>
      <c r="H468" s="97" t="s">
        <v>90</v>
      </c>
      <c r="I468" s="119">
        <f>SUBTOTAL(9,I464:I467)</f>
        <v>52</v>
      </c>
    </row>
    <row r="469" spans="1:9" s="2" customFormat="1"/>
    <row r="470" spans="1:9" s="2" customFormat="1"/>
    <row r="471" spans="1:9" s="2" customFormat="1">
      <c r="A471" s="81" t="s">
        <v>249</v>
      </c>
      <c r="B471" s="82" t="s">
        <v>250</v>
      </c>
      <c r="C471" s="83"/>
      <c r="D471" s="84"/>
      <c r="E471" s="85"/>
      <c r="F471" s="86"/>
      <c r="G471" s="87"/>
      <c r="H471" s="88"/>
      <c r="I471" s="89"/>
    </row>
    <row r="472" spans="1:9" s="2" customFormat="1"/>
    <row r="473" spans="1:9" s="2" customFormat="1"/>
    <row r="474" spans="1:9" s="2" customFormat="1">
      <c r="A474" s="81" t="s">
        <v>251</v>
      </c>
      <c r="B474" s="82" t="s">
        <v>252</v>
      </c>
      <c r="C474" s="83"/>
      <c r="D474" s="84"/>
      <c r="E474" s="85"/>
      <c r="F474" s="86"/>
      <c r="G474" s="87"/>
      <c r="H474" s="88"/>
      <c r="I474" s="89"/>
    </row>
    <row r="475" spans="1:9" s="2" customFormat="1"/>
    <row r="476" spans="1:9" s="2" customFormat="1"/>
    <row r="477" spans="1:9" s="2" customFormat="1">
      <c r="A477" s="81" t="s">
        <v>253</v>
      </c>
      <c r="B477" s="82" t="s">
        <v>445</v>
      </c>
      <c r="C477" s="83"/>
      <c r="D477" s="84"/>
      <c r="E477" s="85"/>
      <c r="F477" s="86"/>
      <c r="G477" s="87"/>
      <c r="H477" s="88"/>
      <c r="I477" s="89"/>
    </row>
    <row r="478" spans="1:9" s="2" customFormat="1">
      <c r="A478" s="99"/>
      <c r="B478" s="100" t="s">
        <v>70</v>
      </c>
      <c r="C478" s="101"/>
      <c r="D478" s="102" t="s">
        <v>73</v>
      </c>
      <c r="E478" s="103"/>
      <c r="F478" s="104"/>
      <c r="G478" s="105" t="s">
        <v>71</v>
      </c>
      <c r="H478" s="106"/>
      <c r="I478" s="107" t="s">
        <v>72</v>
      </c>
    </row>
    <row r="479" spans="1:9" s="2" customFormat="1">
      <c r="A479" s="108"/>
      <c r="B479" s="109"/>
      <c r="C479" s="110"/>
      <c r="D479" s="111"/>
      <c r="E479" s="112"/>
      <c r="F479" s="113"/>
      <c r="G479" s="114"/>
      <c r="H479" s="115"/>
      <c r="I479" s="120">
        <f t="shared" ref="I479:I482" si="18">ROUND(PRODUCT(ROUND(PRODUCT(D479,E479,F479),0),G479,H479),0)</f>
        <v>0</v>
      </c>
    </row>
    <row r="480" spans="1:9" s="2" customFormat="1">
      <c r="A480" s="108"/>
      <c r="B480" s="109"/>
      <c r="C480" s="110"/>
      <c r="D480" s="111">
        <v>1</v>
      </c>
      <c r="E480" s="112"/>
      <c r="F480" s="113"/>
      <c r="G480" s="114"/>
      <c r="H480" s="115"/>
      <c r="I480" s="120">
        <f t="shared" si="18"/>
        <v>1</v>
      </c>
    </row>
    <row r="481" spans="1:9" s="2" customFormat="1">
      <c r="A481" s="108"/>
      <c r="B481" s="109"/>
      <c r="C481" s="110"/>
      <c r="D481" s="111"/>
      <c r="E481" s="112"/>
      <c r="F481" s="113"/>
      <c r="G481" s="114"/>
      <c r="H481" s="115"/>
      <c r="I481" s="120">
        <f t="shared" si="18"/>
        <v>0</v>
      </c>
    </row>
    <row r="482" spans="1:9" s="2" customFormat="1">
      <c r="A482" s="108"/>
      <c r="B482" s="109"/>
      <c r="C482" s="110"/>
      <c r="D482" s="111"/>
      <c r="E482" s="112"/>
      <c r="F482" s="113"/>
      <c r="G482" s="114"/>
      <c r="H482" s="115"/>
      <c r="I482" s="120">
        <f t="shared" si="18"/>
        <v>0</v>
      </c>
    </row>
    <row r="483" spans="1:9" s="2" customFormat="1">
      <c r="A483" s="90"/>
      <c r="B483" s="91"/>
      <c r="C483" s="92"/>
      <c r="D483" s="93" t="s">
        <v>74</v>
      </c>
      <c r="E483" s="94"/>
      <c r="F483" s="95"/>
      <c r="G483" s="96" t="s">
        <v>75</v>
      </c>
      <c r="H483" s="97" t="s">
        <v>76</v>
      </c>
      <c r="I483" s="98">
        <f>SUBTOTAL(9,I479:I482)</f>
        <v>1</v>
      </c>
    </row>
    <row r="484" spans="1:9" s="2" customFormat="1"/>
    <row r="485" spans="1:9" s="2" customFormat="1"/>
    <row r="486" spans="1:9" s="2" customFormat="1">
      <c r="A486" s="81" t="s">
        <v>254</v>
      </c>
      <c r="B486" s="82" t="s">
        <v>255</v>
      </c>
      <c r="C486" s="83"/>
      <c r="D486" s="84"/>
      <c r="E486" s="85"/>
      <c r="F486" s="86"/>
      <c r="G486" s="87"/>
      <c r="H486" s="88"/>
      <c r="I486" s="89"/>
    </row>
    <row r="487" spans="1:9" s="2" customFormat="1"/>
    <row r="488" spans="1:9" s="2" customFormat="1"/>
    <row r="489" spans="1:9" s="2" customFormat="1">
      <c r="A489" s="81" t="s">
        <v>256</v>
      </c>
      <c r="B489" s="82" t="s">
        <v>257</v>
      </c>
      <c r="C489" s="83"/>
      <c r="D489" s="84"/>
      <c r="E489" s="85"/>
      <c r="F489" s="86"/>
      <c r="G489" s="87"/>
      <c r="H489" s="88"/>
      <c r="I489" s="89"/>
    </row>
    <row r="490" spans="1:9" s="2" customFormat="1">
      <c r="A490" s="99"/>
      <c r="B490" s="100" t="s">
        <v>70</v>
      </c>
      <c r="C490" s="101"/>
      <c r="D490" s="102" t="s">
        <v>73</v>
      </c>
      <c r="E490" s="103"/>
      <c r="F490" s="104"/>
      <c r="G490" s="105" t="s">
        <v>71</v>
      </c>
      <c r="H490" s="106"/>
      <c r="I490" s="107" t="s">
        <v>72</v>
      </c>
    </row>
    <row r="491" spans="1:9" s="2" customFormat="1">
      <c r="A491" s="108"/>
      <c r="B491" s="109"/>
      <c r="C491" s="110"/>
      <c r="D491" s="111"/>
      <c r="E491" s="112"/>
      <c r="F491" s="113"/>
      <c r="G491" s="114"/>
      <c r="H491" s="115"/>
      <c r="I491" s="120">
        <f t="shared" ref="I491:I494" si="19">ROUND(PRODUCT(ROUND(PRODUCT(D491,E491,F491),0),G491,H491),0)</f>
        <v>0</v>
      </c>
    </row>
    <row r="492" spans="1:9" s="2" customFormat="1">
      <c r="A492" s="108"/>
      <c r="B492" s="109" t="s">
        <v>449</v>
      </c>
      <c r="C492" s="110"/>
      <c r="D492" s="111">
        <v>1</v>
      </c>
      <c r="E492" s="112"/>
      <c r="F492" s="113"/>
      <c r="G492" s="114"/>
      <c r="H492" s="115"/>
      <c r="I492" s="120"/>
    </row>
    <row r="493" spans="1:9" s="2" customFormat="1">
      <c r="A493" s="108"/>
      <c r="B493" s="109"/>
      <c r="C493" s="110"/>
      <c r="D493" s="111"/>
      <c r="E493" s="112"/>
      <c r="F493" s="113"/>
      <c r="G493" s="114"/>
      <c r="H493" s="115"/>
      <c r="I493" s="120">
        <f t="shared" si="19"/>
        <v>0</v>
      </c>
    </row>
    <row r="494" spans="1:9" s="2" customFormat="1">
      <c r="A494" s="108"/>
      <c r="B494" s="109"/>
      <c r="C494" s="110"/>
      <c r="D494" s="111"/>
      <c r="E494" s="112"/>
      <c r="F494" s="113"/>
      <c r="G494" s="114"/>
      <c r="H494" s="115"/>
      <c r="I494" s="120">
        <f t="shared" si="19"/>
        <v>0</v>
      </c>
    </row>
    <row r="495" spans="1:9" s="2" customFormat="1">
      <c r="A495" s="90"/>
      <c r="B495" s="91"/>
      <c r="C495" s="92"/>
      <c r="D495" s="93" t="s">
        <v>74</v>
      </c>
      <c r="E495" s="94"/>
      <c r="F495" s="95"/>
      <c r="G495" s="96" t="s">
        <v>448</v>
      </c>
      <c r="H495" s="97" t="s">
        <v>76</v>
      </c>
      <c r="I495" s="98">
        <f>SUBTOTAL(9,I491:I494)</f>
        <v>0</v>
      </c>
    </row>
    <row r="496" spans="1:9" s="2" customFormat="1"/>
    <row r="497" spans="1:9" s="2" customFormat="1"/>
    <row r="498" spans="1:9" s="2" customFormat="1">
      <c r="A498" s="81" t="s">
        <v>258</v>
      </c>
      <c r="B498" s="82" t="s">
        <v>259</v>
      </c>
      <c r="C498" s="83"/>
      <c r="D498" s="84"/>
      <c r="E498" s="85"/>
      <c r="F498" s="86"/>
      <c r="G498" s="87"/>
      <c r="H498" s="88"/>
      <c r="I498" s="89"/>
    </row>
    <row r="499" spans="1:9" s="2" customFormat="1"/>
    <row r="500" spans="1:9" s="2" customFormat="1"/>
    <row r="501" spans="1:9" s="2" customFormat="1">
      <c r="A501" s="81" t="s">
        <v>260</v>
      </c>
      <c r="B501" s="82" t="s">
        <v>261</v>
      </c>
      <c r="C501" s="83"/>
      <c r="D501" s="84"/>
      <c r="E501" s="85"/>
      <c r="F501" s="86"/>
      <c r="G501" s="87"/>
      <c r="H501" s="88"/>
      <c r="I501" s="89"/>
    </row>
    <row r="502" spans="1:9" s="2" customFormat="1"/>
    <row r="503" spans="1:9" s="2" customFormat="1"/>
    <row r="504" spans="1:9" s="2" customFormat="1">
      <c r="A504" s="81" t="s">
        <v>262</v>
      </c>
      <c r="B504" s="82" t="s">
        <v>263</v>
      </c>
      <c r="C504" s="83"/>
      <c r="D504" s="84"/>
      <c r="E504" s="85"/>
      <c r="F504" s="86"/>
      <c r="G504" s="87"/>
      <c r="H504" s="88"/>
      <c r="I504" s="89"/>
    </row>
    <row r="505" spans="1:9" s="2" customFormat="1">
      <c r="A505" s="99"/>
      <c r="B505" s="100" t="s">
        <v>70</v>
      </c>
      <c r="C505" s="101"/>
      <c r="D505" s="102" t="s">
        <v>73</v>
      </c>
      <c r="E505" s="103"/>
      <c r="F505" s="104"/>
      <c r="G505" s="105" t="s">
        <v>71</v>
      </c>
      <c r="H505" s="106"/>
      <c r="I505" s="107" t="s">
        <v>72</v>
      </c>
    </row>
    <row r="506" spans="1:9" s="2" customFormat="1">
      <c r="A506" s="108"/>
      <c r="B506" s="109"/>
      <c r="C506" s="110"/>
      <c r="D506" s="111"/>
      <c r="E506" s="112"/>
      <c r="F506" s="113"/>
      <c r="G506" s="114"/>
      <c r="H506" s="115"/>
      <c r="I506" s="120">
        <f t="shared" ref="I506:I509" si="20">ROUND(PRODUCT(ROUND(PRODUCT(D506,E506,F506),0),G506,H506),0)</f>
        <v>0</v>
      </c>
    </row>
    <row r="507" spans="1:9" s="2" customFormat="1">
      <c r="A507" s="108"/>
      <c r="B507" s="109"/>
      <c r="C507" s="110"/>
      <c r="D507" s="111">
        <v>1</v>
      </c>
      <c r="E507" s="112"/>
      <c r="F507" s="113"/>
      <c r="G507" s="114"/>
      <c r="H507" s="115"/>
      <c r="I507" s="120">
        <f t="shared" si="20"/>
        <v>1</v>
      </c>
    </row>
    <row r="508" spans="1:9" s="2" customFormat="1">
      <c r="A508" s="108"/>
      <c r="B508" s="109"/>
      <c r="C508" s="110"/>
      <c r="D508" s="111"/>
      <c r="E508" s="112"/>
      <c r="F508" s="113"/>
      <c r="G508" s="114"/>
      <c r="H508" s="115"/>
      <c r="I508" s="120">
        <f t="shared" si="20"/>
        <v>0</v>
      </c>
    </row>
    <row r="509" spans="1:9" s="2" customFormat="1">
      <c r="A509" s="108"/>
      <c r="B509" s="109"/>
      <c r="C509" s="110"/>
      <c r="D509" s="111"/>
      <c r="E509" s="112"/>
      <c r="F509" s="113"/>
      <c r="G509" s="114"/>
      <c r="H509" s="115"/>
      <c r="I509" s="120">
        <f t="shared" si="20"/>
        <v>0</v>
      </c>
    </row>
    <row r="510" spans="1:9" s="2" customFormat="1">
      <c r="A510" s="90"/>
      <c r="B510" s="91"/>
      <c r="C510" s="92"/>
      <c r="D510" s="93" t="s">
        <v>74</v>
      </c>
      <c r="E510" s="94"/>
      <c r="F510" s="95"/>
      <c r="G510" s="96" t="s">
        <v>75</v>
      </c>
      <c r="H510" s="97" t="s">
        <v>76</v>
      </c>
      <c r="I510" s="98">
        <f>SUBTOTAL(9,I506:I509)</f>
        <v>1</v>
      </c>
    </row>
    <row r="511" spans="1:9" s="2" customFormat="1"/>
    <row r="512" spans="1:9" s="2" customFormat="1"/>
    <row r="513" spans="1:9" s="2" customFormat="1">
      <c r="A513" s="81" t="s">
        <v>264</v>
      </c>
      <c r="B513" s="82" t="s">
        <v>265</v>
      </c>
      <c r="C513" s="83"/>
      <c r="D513" s="84"/>
      <c r="E513" s="85"/>
      <c r="F513" s="86"/>
      <c r="G513" s="87"/>
      <c r="H513" s="88"/>
      <c r="I513" s="89"/>
    </row>
    <row r="514" spans="1:9" s="2" customFormat="1">
      <c r="A514" s="90"/>
      <c r="B514" s="91"/>
      <c r="C514" s="92"/>
      <c r="D514" s="93" t="s">
        <v>74</v>
      </c>
      <c r="E514" s="94"/>
      <c r="F514" s="95"/>
      <c r="G514" s="96" t="s">
        <v>91</v>
      </c>
      <c r="H514" s="97"/>
      <c r="I514" s="98"/>
    </row>
    <row r="515" spans="1:9" s="2" customFormat="1"/>
    <row r="516" spans="1:9" s="2" customFormat="1"/>
    <row r="517" spans="1:9" s="2" customFormat="1">
      <c r="A517" s="81" t="s">
        <v>266</v>
      </c>
      <c r="B517" s="82" t="s">
        <v>267</v>
      </c>
      <c r="C517" s="83"/>
      <c r="D517" s="84"/>
      <c r="E517" s="85"/>
      <c r="F517" s="86"/>
      <c r="G517" s="87"/>
      <c r="H517" s="88"/>
      <c r="I517" s="89"/>
    </row>
    <row r="518" spans="1:9" s="2" customFormat="1">
      <c r="A518" s="99"/>
      <c r="B518" s="100" t="s">
        <v>70</v>
      </c>
      <c r="C518" s="101"/>
      <c r="D518" s="102" t="s">
        <v>73</v>
      </c>
      <c r="E518" s="103"/>
      <c r="F518" s="104"/>
      <c r="G518" s="105" t="s">
        <v>71</v>
      </c>
      <c r="H518" s="106"/>
      <c r="I518" s="107" t="s">
        <v>72</v>
      </c>
    </row>
    <row r="519" spans="1:9" s="2" customFormat="1">
      <c r="A519" s="108"/>
      <c r="B519" s="109"/>
      <c r="C519" s="110"/>
      <c r="D519" s="111"/>
      <c r="E519" s="112"/>
      <c r="F519" s="113"/>
      <c r="G519" s="114"/>
      <c r="H519" s="115"/>
      <c r="I519" s="120">
        <f t="shared" ref="I519:I522" si="21">ROUND(PRODUCT(ROUND(PRODUCT(D519,E519,F519),0),G519,H519),0)</f>
        <v>0</v>
      </c>
    </row>
    <row r="520" spans="1:9" s="2" customFormat="1">
      <c r="A520" s="108"/>
      <c r="B520" s="109"/>
      <c r="C520" s="110"/>
      <c r="D520" s="111">
        <v>1</v>
      </c>
      <c r="E520" s="112"/>
      <c r="F520" s="113"/>
      <c r="G520" s="114"/>
      <c r="H520" s="115"/>
      <c r="I520" s="120">
        <f t="shared" si="21"/>
        <v>1</v>
      </c>
    </row>
    <row r="521" spans="1:9" s="2" customFormat="1">
      <c r="A521" s="108"/>
      <c r="B521" s="109"/>
      <c r="C521" s="110"/>
      <c r="D521" s="111"/>
      <c r="E521" s="112"/>
      <c r="F521" s="113"/>
      <c r="G521" s="114"/>
      <c r="H521" s="115"/>
      <c r="I521" s="120">
        <f t="shared" si="21"/>
        <v>0</v>
      </c>
    </row>
    <row r="522" spans="1:9" s="2" customFormat="1">
      <c r="A522" s="108"/>
      <c r="B522" s="109"/>
      <c r="C522" s="110"/>
      <c r="D522" s="111"/>
      <c r="E522" s="112"/>
      <c r="F522" s="113"/>
      <c r="G522" s="114"/>
      <c r="H522" s="115"/>
      <c r="I522" s="120">
        <f t="shared" si="21"/>
        <v>0</v>
      </c>
    </row>
    <row r="523" spans="1:9" s="2" customFormat="1">
      <c r="A523" s="90"/>
      <c r="B523" s="91"/>
      <c r="C523" s="92"/>
      <c r="D523" s="93" t="s">
        <v>74</v>
      </c>
      <c r="E523" s="94"/>
      <c r="F523" s="95"/>
      <c r="G523" s="96" t="s">
        <v>75</v>
      </c>
      <c r="H523" s="97" t="s">
        <v>76</v>
      </c>
      <c r="I523" s="98">
        <f>SUBTOTAL(9,I519:I522)</f>
        <v>1</v>
      </c>
    </row>
    <row r="524" spans="1:9" s="2" customFormat="1"/>
    <row r="525" spans="1:9" s="2" customFormat="1"/>
    <row r="526" spans="1:9" s="2" customFormat="1">
      <c r="A526" s="81" t="s">
        <v>268</v>
      </c>
      <c r="B526" s="82" t="s">
        <v>269</v>
      </c>
      <c r="C526" s="83"/>
      <c r="D526" s="84"/>
      <c r="E526" s="85"/>
      <c r="F526" s="86"/>
      <c r="G526" s="87"/>
      <c r="H526" s="88"/>
      <c r="I526" s="89"/>
    </row>
    <row r="527" spans="1:9" s="2" customFormat="1">
      <c r="A527" s="99"/>
      <c r="B527" s="100" t="s">
        <v>70</v>
      </c>
      <c r="C527" s="101"/>
      <c r="D527" s="102" t="s">
        <v>73</v>
      </c>
      <c r="E527" s="103"/>
      <c r="F527" s="104"/>
      <c r="G527" s="105" t="s">
        <v>71</v>
      </c>
      <c r="H527" s="106"/>
      <c r="I527" s="107" t="s">
        <v>72</v>
      </c>
    </row>
    <row r="528" spans="1:9" s="2" customFormat="1">
      <c r="A528" s="108"/>
      <c r="B528" s="109"/>
      <c r="C528" s="110"/>
      <c r="D528" s="111"/>
      <c r="E528" s="112"/>
      <c r="F528" s="113"/>
      <c r="G528" s="114"/>
      <c r="H528" s="115"/>
      <c r="I528" s="120">
        <f t="shared" ref="I528:I531" si="22">ROUND(PRODUCT(ROUND(PRODUCT(D528,E528,F528),0),G528,H528),0)</f>
        <v>0</v>
      </c>
    </row>
    <row r="529" spans="1:9" s="2" customFormat="1">
      <c r="A529" s="108"/>
      <c r="B529" s="109"/>
      <c r="C529" s="110"/>
      <c r="D529" s="111">
        <v>1</v>
      </c>
      <c r="E529" s="112"/>
      <c r="F529" s="113"/>
      <c r="G529" s="114"/>
      <c r="H529" s="115"/>
      <c r="I529" s="120">
        <f t="shared" si="22"/>
        <v>1</v>
      </c>
    </row>
    <row r="530" spans="1:9" s="2" customFormat="1">
      <c r="A530" s="108"/>
      <c r="B530" s="109"/>
      <c r="C530" s="110"/>
      <c r="D530" s="111"/>
      <c r="E530" s="112"/>
      <c r="F530" s="113"/>
      <c r="G530" s="114"/>
      <c r="H530" s="115"/>
      <c r="I530" s="120">
        <f t="shared" si="22"/>
        <v>0</v>
      </c>
    </row>
    <row r="531" spans="1:9" s="2" customFormat="1">
      <c r="A531" s="108"/>
      <c r="B531" s="109"/>
      <c r="C531" s="110"/>
      <c r="D531" s="111"/>
      <c r="E531" s="112"/>
      <c r="F531" s="113"/>
      <c r="G531" s="114"/>
      <c r="H531" s="115"/>
      <c r="I531" s="120">
        <f t="shared" si="22"/>
        <v>0</v>
      </c>
    </row>
    <row r="532" spans="1:9" s="2" customFormat="1">
      <c r="A532" s="90"/>
      <c r="B532" s="91"/>
      <c r="C532" s="92"/>
      <c r="D532" s="93" t="s">
        <v>74</v>
      </c>
      <c r="E532" s="94"/>
      <c r="F532" s="95"/>
      <c r="G532" s="96" t="s">
        <v>75</v>
      </c>
      <c r="H532" s="97" t="s">
        <v>76</v>
      </c>
      <c r="I532" s="98">
        <f>SUBTOTAL(9,I528:I531)</f>
        <v>1</v>
      </c>
    </row>
    <row r="533" spans="1:9" s="2" customFormat="1"/>
    <row r="534" spans="1:9" s="2" customFormat="1"/>
    <row r="535" spans="1:9" s="2" customFormat="1">
      <c r="A535" s="81" t="s">
        <v>270</v>
      </c>
      <c r="B535" s="82" t="s">
        <v>271</v>
      </c>
      <c r="C535" s="83"/>
      <c r="D535" s="84"/>
      <c r="E535" s="85"/>
      <c r="F535" s="86"/>
      <c r="G535" s="87"/>
      <c r="H535" s="88"/>
      <c r="I535" s="89"/>
    </row>
    <row r="536" spans="1:9" s="2" customFormat="1">
      <c r="A536" s="99"/>
      <c r="B536" s="100" t="s">
        <v>70</v>
      </c>
      <c r="C536" s="101"/>
      <c r="D536" s="102" t="s">
        <v>73</v>
      </c>
      <c r="E536" s="103"/>
      <c r="F536" s="104"/>
      <c r="G536" s="105" t="s">
        <v>71</v>
      </c>
      <c r="H536" s="106"/>
      <c r="I536" s="107" t="s">
        <v>72</v>
      </c>
    </row>
    <row r="537" spans="1:9" s="2" customFormat="1">
      <c r="A537" s="108"/>
      <c r="B537" s="109"/>
      <c r="C537" s="110"/>
      <c r="D537" s="111"/>
      <c r="E537" s="112"/>
      <c r="F537" s="113"/>
      <c r="G537" s="114"/>
      <c r="H537" s="115"/>
      <c r="I537" s="120">
        <f t="shared" ref="I537:I540" si="23">ROUND(PRODUCT(ROUND(PRODUCT(D537,E537,F537),0),G537,H537),0)</f>
        <v>0</v>
      </c>
    </row>
    <row r="538" spans="1:9" s="2" customFormat="1">
      <c r="A538" s="108"/>
      <c r="B538" s="109"/>
      <c r="C538" s="110"/>
      <c r="D538" s="111">
        <v>2</v>
      </c>
      <c r="E538" s="112"/>
      <c r="F538" s="113"/>
      <c r="G538" s="114"/>
      <c r="H538" s="115"/>
      <c r="I538" s="120">
        <f t="shared" si="23"/>
        <v>2</v>
      </c>
    </row>
    <row r="539" spans="1:9" s="2" customFormat="1">
      <c r="A539" s="108"/>
      <c r="B539" s="109"/>
      <c r="C539" s="110"/>
      <c r="D539" s="111"/>
      <c r="E539" s="112"/>
      <c r="F539" s="113"/>
      <c r="G539" s="114"/>
      <c r="H539" s="115"/>
      <c r="I539" s="120">
        <f t="shared" si="23"/>
        <v>0</v>
      </c>
    </row>
    <row r="540" spans="1:9" s="2" customFormat="1">
      <c r="A540" s="108"/>
      <c r="B540" s="109"/>
      <c r="C540" s="110"/>
      <c r="D540" s="111"/>
      <c r="E540" s="112"/>
      <c r="F540" s="113"/>
      <c r="G540" s="114"/>
      <c r="H540" s="115"/>
      <c r="I540" s="120">
        <f t="shared" si="23"/>
        <v>0</v>
      </c>
    </row>
    <row r="541" spans="1:9" s="2" customFormat="1">
      <c r="A541" s="90"/>
      <c r="B541" s="91"/>
      <c r="C541" s="92"/>
      <c r="D541" s="93" t="s">
        <v>74</v>
      </c>
      <c r="E541" s="94"/>
      <c r="F541" s="95"/>
      <c r="G541" s="96" t="s">
        <v>75</v>
      </c>
      <c r="H541" s="97" t="s">
        <v>76</v>
      </c>
      <c r="I541" s="98">
        <f>SUBTOTAL(9,I537:I540)</f>
        <v>2</v>
      </c>
    </row>
    <row r="542" spans="1:9" s="2" customFormat="1"/>
    <row r="543" spans="1:9" s="2" customFormat="1"/>
    <row r="544" spans="1:9" s="2" customFormat="1">
      <c r="A544" s="81" t="s">
        <v>272</v>
      </c>
      <c r="B544" s="82" t="s">
        <v>273</v>
      </c>
      <c r="C544" s="83"/>
      <c r="D544" s="84"/>
      <c r="E544" s="85"/>
      <c r="F544" s="86"/>
      <c r="G544" s="87"/>
      <c r="H544" s="88"/>
      <c r="I544" s="89"/>
    </row>
    <row r="545" spans="1:9" s="2" customFormat="1"/>
    <row r="546" spans="1:9" s="2" customFormat="1"/>
    <row r="547" spans="1:9" s="2" customFormat="1">
      <c r="A547" s="81" t="s">
        <v>274</v>
      </c>
      <c r="B547" s="82" t="s">
        <v>275</v>
      </c>
      <c r="C547" s="83"/>
      <c r="D547" s="84"/>
      <c r="E547" s="85"/>
      <c r="F547" s="86"/>
      <c r="G547" s="87"/>
      <c r="H547" s="88"/>
      <c r="I547" s="89"/>
    </row>
    <row r="548" spans="1:9" s="2" customFormat="1"/>
    <row r="549" spans="1:9" s="2" customFormat="1"/>
    <row r="550" spans="1:9" s="2" customFormat="1">
      <c r="A550" s="81" t="s">
        <v>276</v>
      </c>
      <c r="B550" s="82" t="s">
        <v>277</v>
      </c>
      <c r="C550" s="83"/>
      <c r="D550" s="84"/>
      <c r="E550" s="85"/>
      <c r="F550" s="86"/>
      <c r="G550" s="87"/>
      <c r="H550" s="88"/>
      <c r="I550" s="89"/>
    </row>
    <row r="551" spans="1:9" s="2" customFormat="1"/>
    <row r="552" spans="1:9" s="2" customFormat="1"/>
    <row r="553" spans="1:9" s="2" customFormat="1">
      <c r="A553" s="81" t="s">
        <v>278</v>
      </c>
      <c r="B553" s="82" t="s">
        <v>279</v>
      </c>
      <c r="C553" s="83"/>
      <c r="D553" s="84"/>
      <c r="E553" s="85"/>
      <c r="F553" s="86"/>
      <c r="G553" s="87"/>
      <c r="H553" s="88"/>
      <c r="I553" s="89"/>
    </row>
    <row r="554" spans="1:9" s="2" customFormat="1"/>
    <row r="555" spans="1:9" s="2" customFormat="1"/>
    <row r="556" spans="1:9" s="2" customFormat="1">
      <c r="A556" s="81" t="s">
        <v>280</v>
      </c>
      <c r="B556" s="82" t="s">
        <v>281</v>
      </c>
      <c r="C556" s="83"/>
      <c r="D556" s="84"/>
      <c r="E556" s="85"/>
      <c r="F556" s="86"/>
      <c r="G556" s="87"/>
      <c r="H556" s="88"/>
      <c r="I556" s="89"/>
    </row>
    <row r="557" spans="1:9" s="2" customFormat="1"/>
    <row r="558" spans="1:9" s="2" customFormat="1"/>
    <row r="559" spans="1:9" s="2" customFormat="1">
      <c r="A559" s="81" t="s">
        <v>282</v>
      </c>
      <c r="B559" s="82" t="s">
        <v>283</v>
      </c>
      <c r="C559" s="83"/>
      <c r="D559" s="84"/>
      <c r="E559" s="85"/>
      <c r="F559" s="86"/>
      <c r="G559" s="87"/>
      <c r="H559" s="88"/>
      <c r="I559" s="89"/>
    </row>
    <row r="560" spans="1:9" s="2" customFormat="1">
      <c r="A560" s="90"/>
      <c r="B560" s="91"/>
      <c r="C560" s="92"/>
      <c r="D560" s="93" t="s">
        <v>74</v>
      </c>
      <c r="E560" s="94"/>
      <c r="F560" s="95"/>
      <c r="G560" s="96" t="s">
        <v>91</v>
      </c>
      <c r="H560" s="97"/>
      <c r="I560" s="98"/>
    </row>
    <row r="561" spans="1:9" s="2" customFormat="1"/>
    <row r="562" spans="1:9" s="2" customFormat="1"/>
    <row r="563" spans="1:9" s="2" customFormat="1">
      <c r="A563" s="81" t="s">
        <v>284</v>
      </c>
      <c r="B563" s="82" t="s">
        <v>285</v>
      </c>
      <c r="C563" s="83"/>
      <c r="D563" s="84"/>
      <c r="E563" s="85"/>
      <c r="F563" s="86"/>
      <c r="G563" s="87"/>
      <c r="H563" s="88"/>
      <c r="I563" s="89"/>
    </row>
    <row r="564" spans="1:9" s="2" customFormat="1"/>
    <row r="565" spans="1:9" s="2" customFormat="1"/>
    <row r="566" spans="1:9" s="2" customFormat="1">
      <c r="A566" s="81" t="s">
        <v>286</v>
      </c>
      <c r="B566" s="82" t="s">
        <v>287</v>
      </c>
      <c r="C566" s="83"/>
      <c r="D566" s="84"/>
      <c r="E566" s="85"/>
      <c r="F566" s="86"/>
      <c r="G566" s="87"/>
      <c r="H566" s="88"/>
      <c r="I566" s="89"/>
    </row>
    <row r="567" spans="1:9" s="2" customFormat="1"/>
    <row r="568" spans="1:9" s="2" customFormat="1"/>
    <row r="569" spans="1:9" s="2" customFormat="1">
      <c r="A569" s="81" t="s">
        <v>288</v>
      </c>
      <c r="B569" s="82" t="s">
        <v>289</v>
      </c>
      <c r="C569" s="83"/>
      <c r="D569" s="84"/>
      <c r="E569" s="85"/>
      <c r="F569" s="86"/>
      <c r="G569" s="87"/>
      <c r="H569" s="88"/>
      <c r="I569" s="89"/>
    </row>
    <row r="570" spans="1:9" s="2" customFormat="1">
      <c r="A570" s="90"/>
      <c r="B570" s="91"/>
      <c r="C570" s="92"/>
      <c r="D570" s="93" t="s">
        <v>74</v>
      </c>
      <c r="E570" s="94"/>
      <c r="F570" s="95"/>
      <c r="G570" s="96" t="s">
        <v>91</v>
      </c>
      <c r="H570" s="97"/>
      <c r="I570" s="98"/>
    </row>
    <row r="571" spans="1:9" s="2" customFormat="1"/>
    <row r="572" spans="1:9" s="2" customFormat="1"/>
    <row r="573" spans="1:9" s="2" customFormat="1">
      <c r="A573" s="81" t="s">
        <v>290</v>
      </c>
      <c r="B573" s="82" t="s">
        <v>291</v>
      </c>
      <c r="C573" s="83"/>
      <c r="D573" s="84"/>
      <c r="E573" s="85"/>
      <c r="F573" s="86"/>
      <c r="G573" s="87"/>
      <c r="H573" s="88"/>
      <c r="I573" s="89"/>
    </row>
    <row r="574" spans="1:9" s="2" customFormat="1"/>
    <row r="575" spans="1:9" s="2" customFormat="1"/>
    <row r="576" spans="1:9" s="2" customFormat="1">
      <c r="A576" s="81" t="s">
        <v>292</v>
      </c>
      <c r="B576" s="82" t="s">
        <v>293</v>
      </c>
      <c r="C576" s="83"/>
      <c r="D576" s="84"/>
      <c r="E576" s="85"/>
      <c r="F576" s="86"/>
      <c r="G576" s="87"/>
      <c r="H576" s="88"/>
      <c r="I576" s="89"/>
    </row>
    <row r="577" spans="1:9" s="2" customFormat="1">
      <c r="A577" s="90"/>
      <c r="B577" s="91"/>
      <c r="C577" s="92"/>
      <c r="D577" s="93" t="s">
        <v>74</v>
      </c>
      <c r="E577" s="94"/>
      <c r="F577" s="95"/>
      <c r="G577" s="96" t="s">
        <v>91</v>
      </c>
      <c r="H577" s="97"/>
      <c r="I577" s="98"/>
    </row>
    <row r="578" spans="1:9" s="2" customFormat="1"/>
    <row r="579" spans="1:9" s="2" customFormat="1"/>
    <row r="580" spans="1:9" s="2" customFormat="1">
      <c r="A580" s="81" t="s">
        <v>294</v>
      </c>
      <c r="B580" s="82" t="s">
        <v>295</v>
      </c>
      <c r="C580" s="83"/>
      <c r="D580" s="84"/>
      <c r="E580" s="85"/>
      <c r="F580" s="86"/>
      <c r="G580" s="87"/>
      <c r="H580" s="88"/>
      <c r="I580" s="89"/>
    </row>
    <row r="581" spans="1:9" s="2" customFormat="1">
      <c r="A581" s="90"/>
      <c r="B581" s="91"/>
      <c r="C581" s="92"/>
      <c r="D581" s="93" t="s">
        <v>74</v>
      </c>
      <c r="E581" s="94"/>
      <c r="F581" s="95"/>
      <c r="G581" s="96" t="s">
        <v>91</v>
      </c>
      <c r="H581" s="97"/>
      <c r="I581" s="98"/>
    </row>
    <row r="582" spans="1:9" s="2" customFormat="1"/>
    <row r="583" spans="1:9" s="2" customFormat="1"/>
    <row r="584" spans="1:9" s="2" customFormat="1">
      <c r="A584" s="81" t="s">
        <v>296</v>
      </c>
      <c r="B584" s="82" t="s">
        <v>297</v>
      </c>
      <c r="C584" s="83"/>
      <c r="D584" s="84"/>
      <c r="E584" s="85"/>
      <c r="F584" s="86"/>
      <c r="G584" s="87"/>
      <c r="H584" s="88"/>
      <c r="I584" s="89"/>
    </row>
    <row r="585" spans="1:9" s="2" customFormat="1"/>
    <row r="586" spans="1:9" s="2" customFormat="1"/>
    <row r="587" spans="1:9" s="2" customFormat="1">
      <c r="A587" s="81" t="s">
        <v>298</v>
      </c>
      <c r="B587" s="82" t="s">
        <v>299</v>
      </c>
      <c r="C587" s="83"/>
      <c r="D587" s="84"/>
      <c r="E587" s="85"/>
      <c r="F587" s="86"/>
      <c r="G587" s="87"/>
      <c r="H587" s="88"/>
      <c r="I587" s="89"/>
    </row>
    <row r="588" spans="1:9" s="2" customFormat="1"/>
    <row r="589" spans="1:9" s="2" customFormat="1"/>
    <row r="590" spans="1:9" s="2" customFormat="1">
      <c r="A590" s="81" t="s">
        <v>300</v>
      </c>
      <c r="B590" s="82" t="s">
        <v>446</v>
      </c>
      <c r="C590" s="83"/>
      <c r="D590" s="84"/>
      <c r="E590" s="85"/>
      <c r="F590" s="86"/>
      <c r="G590" s="87"/>
      <c r="H590" s="88"/>
      <c r="I590" s="89"/>
    </row>
    <row r="591" spans="1:9" s="2" customFormat="1">
      <c r="A591" s="99"/>
      <c r="B591" s="100" t="s">
        <v>70</v>
      </c>
      <c r="C591" s="101"/>
      <c r="D591" s="102" t="s">
        <v>89</v>
      </c>
      <c r="E591" s="103" t="s">
        <v>160</v>
      </c>
      <c r="F591" s="104" t="s">
        <v>161</v>
      </c>
      <c r="G591" s="105" t="s">
        <v>71</v>
      </c>
      <c r="H591" s="106"/>
      <c r="I591" s="107" t="s">
        <v>72</v>
      </c>
    </row>
    <row r="592" spans="1:9" s="2" customFormat="1">
      <c r="A592" s="108"/>
      <c r="B592" s="109"/>
      <c r="C592" s="110"/>
      <c r="D592" s="111"/>
      <c r="E592" s="112"/>
      <c r="F592" s="113"/>
      <c r="G592" s="114"/>
      <c r="H592" s="115"/>
      <c r="I592" s="116">
        <f t="shared" ref="I592:I602" si="24">ROUND(PRODUCT(ROUND(PRODUCT(D592,E592,F592),3),G592,H592),3)</f>
        <v>0</v>
      </c>
    </row>
    <row r="593" spans="1:9" customFormat="1">
      <c r="A593" s="129"/>
      <c r="B593" s="130" t="s">
        <v>399</v>
      </c>
      <c r="C593" s="131" t="s">
        <v>419</v>
      </c>
      <c r="D593" s="132">
        <v>3.75</v>
      </c>
      <c r="E593" s="138">
        <v>0.14000000000000001</v>
      </c>
      <c r="F593" s="134">
        <v>2.5</v>
      </c>
      <c r="G593" s="135"/>
      <c r="H593" s="136"/>
      <c r="I593" s="137">
        <f t="shared" si="24"/>
        <v>1.3129999999999999</v>
      </c>
    </row>
    <row r="594" spans="1:9" customFormat="1">
      <c r="A594" s="129"/>
      <c r="B594" s="130"/>
      <c r="C594" s="131" t="s">
        <v>420</v>
      </c>
      <c r="D594" s="132">
        <v>2.9</v>
      </c>
      <c r="E594" s="138">
        <v>0.14000000000000001</v>
      </c>
      <c r="F594" s="134">
        <v>2.5</v>
      </c>
      <c r="G594" s="135"/>
      <c r="H594" s="136"/>
      <c r="I594" s="137">
        <f t="shared" si="24"/>
        <v>1.0149999999999999</v>
      </c>
    </row>
    <row r="595" spans="1:9" customFormat="1">
      <c r="A595" s="129"/>
      <c r="B595" s="130"/>
      <c r="C595" s="131" t="s">
        <v>421</v>
      </c>
      <c r="D595" s="132">
        <v>1</v>
      </c>
      <c r="E595" s="138">
        <v>0.14000000000000001</v>
      </c>
      <c r="F595" s="134">
        <v>1</v>
      </c>
      <c r="G595" s="135"/>
      <c r="H595" s="136"/>
      <c r="I595" s="137">
        <f t="shared" si="24"/>
        <v>0.14000000000000001</v>
      </c>
    </row>
    <row r="596" spans="1:9" customFormat="1">
      <c r="A596" s="129"/>
      <c r="B596" s="130"/>
      <c r="C596" s="131"/>
      <c r="D596" s="132"/>
      <c r="E596" s="138"/>
      <c r="F596" s="134"/>
      <c r="G596" s="135"/>
      <c r="H596" s="136"/>
      <c r="I596" s="137">
        <f t="shared" si="24"/>
        <v>0</v>
      </c>
    </row>
    <row r="597" spans="1:9" customFormat="1">
      <c r="A597" s="129"/>
      <c r="B597" s="130" t="s">
        <v>407</v>
      </c>
      <c r="C597" s="131" t="s">
        <v>422</v>
      </c>
      <c r="D597" s="132">
        <v>4.2300000000000004</v>
      </c>
      <c r="E597" s="138">
        <v>0.14000000000000001</v>
      </c>
      <c r="F597" s="134">
        <v>3</v>
      </c>
      <c r="G597" s="135"/>
      <c r="H597" s="136"/>
      <c r="I597" s="137">
        <f t="shared" si="24"/>
        <v>1.7769999999999999</v>
      </c>
    </row>
    <row r="598" spans="1:9" customFormat="1">
      <c r="A598" s="129"/>
      <c r="B598" s="130"/>
      <c r="C598" s="131" t="s">
        <v>422</v>
      </c>
      <c r="D598" s="132">
        <v>6</v>
      </c>
      <c r="E598" s="138">
        <v>0.14000000000000001</v>
      </c>
      <c r="F598" s="134">
        <v>1.2</v>
      </c>
      <c r="G598" s="135"/>
      <c r="H598" s="136"/>
      <c r="I598" s="137">
        <f t="shared" si="24"/>
        <v>1.008</v>
      </c>
    </row>
    <row r="599" spans="1:9" customFormat="1">
      <c r="A599" s="129"/>
      <c r="B599" s="130"/>
      <c r="C599" s="131" t="s">
        <v>423</v>
      </c>
      <c r="D599" s="132">
        <v>1</v>
      </c>
      <c r="E599" s="138">
        <v>0.14000000000000001</v>
      </c>
      <c r="F599" s="134">
        <v>1.1000000000000001</v>
      </c>
      <c r="G599" s="135">
        <v>7</v>
      </c>
      <c r="H599" s="136"/>
      <c r="I599" s="137">
        <f t="shared" si="24"/>
        <v>1.0780000000000001</v>
      </c>
    </row>
    <row r="600" spans="1:9" s="2" customFormat="1">
      <c r="A600" s="108"/>
      <c r="B600" s="109"/>
      <c r="C600" s="110"/>
      <c r="D600" s="111"/>
      <c r="E600" s="112"/>
      <c r="F600" s="113"/>
      <c r="G600" s="114"/>
      <c r="H600" s="115"/>
      <c r="I600" s="116">
        <f t="shared" si="24"/>
        <v>0</v>
      </c>
    </row>
    <row r="601" spans="1:9" s="2" customFormat="1">
      <c r="A601" s="108"/>
      <c r="B601" s="109"/>
      <c r="C601" s="110"/>
      <c r="D601" s="111"/>
      <c r="E601" s="112"/>
      <c r="F601" s="113"/>
      <c r="G601" s="114"/>
      <c r="H601" s="115"/>
      <c r="I601" s="116">
        <f t="shared" si="24"/>
        <v>0</v>
      </c>
    </row>
    <row r="602" spans="1:9" s="2" customFormat="1">
      <c r="A602" s="108"/>
      <c r="B602" s="109"/>
      <c r="C602" s="110"/>
      <c r="D602" s="111"/>
      <c r="E602" s="112"/>
      <c r="F602" s="113"/>
      <c r="G602" s="114"/>
      <c r="H602" s="115"/>
      <c r="I602" s="116">
        <f t="shared" si="24"/>
        <v>0</v>
      </c>
    </row>
    <row r="603" spans="1:9" s="2" customFormat="1">
      <c r="A603" s="90"/>
      <c r="B603" s="91"/>
      <c r="C603" s="92"/>
      <c r="D603" s="93" t="s">
        <v>74</v>
      </c>
      <c r="E603" s="94"/>
      <c r="F603" s="95"/>
      <c r="G603" s="96" t="s">
        <v>75</v>
      </c>
      <c r="H603" s="97" t="s">
        <v>162</v>
      </c>
      <c r="I603" s="117">
        <f>SUBTOTAL(9,I592:I602)</f>
        <v>6.3310000000000004</v>
      </c>
    </row>
    <row r="604" spans="1:9" s="2" customFormat="1"/>
    <row r="605" spans="1:9" s="2" customFormat="1"/>
    <row r="606" spans="1:9" s="2" customFormat="1">
      <c r="A606" s="81" t="s">
        <v>301</v>
      </c>
      <c r="B606" s="82" t="s">
        <v>302</v>
      </c>
      <c r="C606" s="83"/>
      <c r="D606" s="84"/>
      <c r="E606" s="85"/>
      <c r="F606" s="86"/>
      <c r="G606" s="87"/>
      <c r="H606" s="88"/>
      <c r="I606" s="89"/>
    </row>
    <row r="607" spans="1:9" s="2" customFormat="1"/>
    <row r="608" spans="1:9" s="2" customFormat="1"/>
    <row r="609" spans="1:9" s="2" customFormat="1">
      <c r="A609" s="81" t="s">
        <v>303</v>
      </c>
      <c r="B609" s="82" t="s">
        <v>304</v>
      </c>
      <c r="C609" s="83"/>
      <c r="D609" s="84"/>
      <c r="E609" s="85"/>
      <c r="F609" s="86"/>
      <c r="G609" s="87"/>
      <c r="H609" s="88"/>
      <c r="I609" s="89"/>
    </row>
    <row r="610" spans="1:9" s="2" customFormat="1"/>
    <row r="611" spans="1:9" s="2" customFormat="1"/>
    <row r="612" spans="1:9" s="2" customFormat="1">
      <c r="A612" s="81" t="s">
        <v>305</v>
      </c>
      <c r="B612" s="82" t="s">
        <v>306</v>
      </c>
      <c r="C612" s="83"/>
      <c r="D612" s="84"/>
      <c r="E612" s="85"/>
      <c r="F612" s="86"/>
      <c r="G612" s="87"/>
      <c r="H612" s="88"/>
      <c r="I612" s="89"/>
    </row>
    <row r="613" spans="1:9" s="2" customFormat="1"/>
    <row r="614" spans="1:9" s="2" customFormat="1"/>
    <row r="615" spans="1:9" s="2" customFormat="1">
      <c r="A615" s="81" t="s">
        <v>307</v>
      </c>
      <c r="B615" s="82" t="s">
        <v>279</v>
      </c>
      <c r="C615" s="83"/>
      <c r="D615" s="84"/>
      <c r="E615" s="85"/>
      <c r="F615" s="86"/>
      <c r="G615" s="87"/>
      <c r="H615" s="88"/>
      <c r="I615" s="89"/>
    </row>
    <row r="616" spans="1:9" s="2" customFormat="1"/>
    <row r="617" spans="1:9" s="2" customFormat="1"/>
    <row r="618" spans="1:9" s="2" customFormat="1">
      <c r="A618" s="81" t="s">
        <v>308</v>
      </c>
      <c r="B618" s="82" t="s">
        <v>309</v>
      </c>
      <c r="C618" s="83"/>
      <c r="D618" s="84"/>
      <c r="E618" s="85"/>
      <c r="F618" s="86"/>
      <c r="G618" s="87"/>
      <c r="H618" s="88"/>
      <c r="I618" s="89"/>
    </row>
    <row r="619" spans="1:9" s="2" customFormat="1"/>
    <row r="620" spans="1:9" s="2" customFormat="1"/>
    <row r="621" spans="1:9" s="2" customFormat="1">
      <c r="A621" s="81" t="s">
        <v>310</v>
      </c>
      <c r="B621" s="82" t="s">
        <v>311</v>
      </c>
      <c r="C621" s="83"/>
      <c r="D621" s="84"/>
      <c r="E621" s="85"/>
      <c r="F621" s="86"/>
      <c r="G621" s="87"/>
      <c r="H621" s="88"/>
      <c r="I621" s="89"/>
    </row>
    <row r="622" spans="1:9" s="2" customFormat="1"/>
    <row r="623" spans="1:9" s="2" customFormat="1"/>
    <row r="624" spans="1:9" s="2" customFormat="1">
      <c r="A624" s="81" t="s">
        <v>312</v>
      </c>
      <c r="B624" s="82" t="s">
        <v>313</v>
      </c>
      <c r="C624" s="83"/>
      <c r="D624" s="84"/>
      <c r="E624" s="85"/>
      <c r="F624" s="86"/>
      <c r="G624" s="87"/>
      <c r="H624" s="88"/>
      <c r="I624" s="89"/>
    </row>
    <row r="625" spans="1:9" s="2" customFormat="1">
      <c r="A625" s="90"/>
      <c r="B625" s="91"/>
      <c r="C625" s="92"/>
      <c r="D625" s="93" t="s">
        <v>74</v>
      </c>
      <c r="E625" s="94"/>
      <c r="F625" s="95"/>
      <c r="G625" s="96" t="s">
        <v>91</v>
      </c>
      <c r="H625" s="97"/>
      <c r="I625" s="98"/>
    </row>
    <row r="626" spans="1:9" s="2" customFormat="1"/>
    <row r="627" spans="1:9" s="2" customFormat="1"/>
    <row r="628" spans="1:9" s="2" customFormat="1">
      <c r="A628" s="81" t="s">
        <v>314</v>
      </c>
      <c r="B628" s="82" t="s">
        <v>315</v>
      </c>
      <c r="C628" s="83"/>
      <c r="D628" s="84"/>
      <c r="E628" s="85"/>
      <c r="F628" s="86"/>
      <c r="G628" s="87"/>
      <c r="H628" s="88"/>
      <c r="I628" s="89"/>
    </row>
    <row r="629" spans="1:9" s="2" customFormat="1"/>
    <row r="630" spans="1:9" s="2" customFormat="1"/>
    <row r="631" spans="1:9" s="2" customFormat="1">
      <c r="A631" s="81" t="s">
        <v>316</v>
      </c>
      <c r="B631" s="82" t="s">
        <v>317</v>
      </c>
      <c r="C631" s="83"/>
      <c r="D631" s="84"/>
      <c r="E631" s="85"/>
      <c r="F631" s="86"/>
      <c r="G631" s="87"/>
      <c r="H631" s="88"/>
      <c r="I631" s="89"/>
    </row>
    <row r="632" spans="1:9" s="2" customFormat="1"/>
    <row r="633" spans="1:9" s="2" customFormat="1"/>
    <row r="634" spans="1:9" s="2" customFormat="1">
      <c r="A634" s="81" t="s">
        <v>318</v>
      </c>
      <c r="B634" s="82" t="s">
        <v>319</v>
      </c>
      <c r="C634" s="83"/>
      <c r="D634" s="84"/>
      <c r="E634" s="85"/>
      <c r="F634" s="86"/>
      <c r="G634" s="87"/>
      <c r="H634" s="88"/>
      <c r="I634" s="89"/>
    </row>
    <row r="635" spans="1:9" s="2" customFormat="1"/>
    <row r="636" spans="1:9" s="2" customFormat="1"/>
    <row r="637" spans="1:9" s="2" customFormat="1">
      <c r="A637" s="81" t="s">
        <v>320</v>
      </c>
      <c r="B637" s="82" t="s">
        <v>321</v>
      </c>
      <c r="C637" s="83"/>
      <c r="D637" s="84"/>
      <c r="E637" s="85"/>
      <c r="F637" s="86"/>
      <c r="G637" s="87"/>
      <c r="H637" s="88"/>
      <c r="I637" s="89"/>
    </row>
    <row r="638" spans="1:9" s="2" customFormat="1"/>
    <row r="639" spans="1:9" s="2" customFormat="1"/>
    <row r="640" spans="1:9" s="2" customFormat="1">
      <c r="A640" s="81" t="s">
        <v>322</v>
      </c>
      <c r="B640" s="82" t="s">
        <v>323</v>
      </c>
      <c r="C640" s="83"/>
      <c r="D640" s="84"/>
      <c r="E640" s="85"/>
      <c r="F640" s="86"/>
      <c r="G640" s="87"/>
      <c r="H640" s="88"/>
      <c r="I640" s="89"/>
    </row>
    <row r="641" spans="1:9" s="2" customFormat="1"/>
    <row r="642" spans="1:9" s="2" customFormat="1"/>
    <row r="643" spans="1:9" s="2" customFormat="1">
      <c r="A643" s="81" t="s">
        <v>324</v>
      </c>
      <c r="B643" s="82" t="s">
        <v>325</v>
      </c>
      <c r="C643" s="83"/>
      <c r="D643" s="84"/>
      <c r="E643" s="85"/>
      <c r="F643" s="86"/>
      <c r="G643" s="87"/>
      <c r="H643" s="88"/>
      <c r="I643" s="89"/>
    </row>
    <row r="644" spans="1:9" s="2" customFormat="1"/>
    <row r="645" spans="1:9" s="2" customFormat="1"/>
    <row r="646" spans="1:9" s="2" customFormat="1">
      <c r="A646" s="81" t="s">
        <v>326</v>
      </c>
      <c r="B646" s="82" t="s">
        <v>447</v>
      </c>
      <c r="C646" s="83"/>
      <c r="D646" s="84"/>
      <c r="E646" s="85"/>
      <c r="F646" s="86"/>
      <c r="G646" s="87"/>
      <c r="H646" s="88"/>
      <c r="I646" s="89"/>
    </row>
    <row r="647" spans="1:9" s="2" customFormat="1">
      <c r="A647" s="99"/>
      <c r="B647" s="100" t="s">
        <v>70</v>
      </c>
      <c r="C647" s="101"/>
      <c r="D647" s="102" t="s">
        <v>89</v>
      </c>
      <c r="E647" s="103" t="s">
        <v>160</v>
      </c>
      <c r="F647" s="104"/>
      <c r="G647" s="105" t="s">
        <v>71</v>
      </c>
      <c r="H647" s="106"/>
      <c r="I647" s="107" t="s">
        <v>72</v>
      </c>
    </row>
    <row r="648" spans="1:9" s="2" customFormat="1">
      <c r="A648" s="108"/>
      <c r="B648" s="109"/>
      <c r="C648" s="110"/>
      <c r="D648" s="111"/>
      <c r="E648" s="112"/>
      <c r="F648" s="113"/>
      <c r="G648" s="114"/>
      <c r="H648" s="115"/>
      <c r="I648" s="118">
        <f t="shared" ref="I648:I655" si="25">ROUND(PRODUCT(ROUND(PRODUCT(D648,E648,F648),2),G648,H648),2)</f>
        <v>0</v>
      </c>
    </row>
    <row r="649" spans="1:9" customFormat="1">
      <c r="A649" s="129"/>
      <c r="B649" s="130" t="s">
        <v>399</v>
      </c>
      <c r="C649" s="131" t="s">
        <v>424</v>
      </c>
      <c r="D649" s="132">
        <v>1</v>
      </c>
      <c r="E649" s="138">
        <v>1</v>
      </c>
      <c r="F649" s="134"/>
      <c r="G649" s="135">
        <v>1</v>
      </c>
      <c r="H649" s="136"/>
      <c r="I649" s="139">
        <f t="shared" si="25"/>
        <v>1</v>
      </c>
    </row>
    <row r="650" spans="1:9" customFormat="1">
      <c r="A650" s="129"/>
      <c r="B650" s="130"/>
      <c r="C650" s="131"/>
      <c r="D650" s="132"/>
      <c r="E650" s="138"/>
      <c r="F650" s="134"/>
      <c r="G650" s="135"/>
      <c r="H650" s="136"/>
      <c r="I650" s="139">
        <f t="shared" si="25"/>
        <v>0</v>
      </c>
    </row>
    <row r="651" spans="1:9" customFormat="1">
      <c r="A651" s="129"/>
      <c r="B651" s="130" t="s">
        <v>407</v>
      </c>
      <c r="C651" s="131" t="s">
        <v>425</v>
      </c>
      <c r="D651" s="132">
        <v>1</v>
      </c>
      <c r="E651" s="138">
        <v>0.3</v>
      </c>
      <c r="F651" s="134"/>
      <c r="G651" s="135">
        <v>7</v>
      </c>
      <c r="H651" s="136">
        <v>2</v>
      </c>
      <c r="I651" s="139">
        <f t="shared" si="25"/>
        <v>4.2</v>
      </c>
    </row>
    <row r="652" spans="1:9" customFormat="1">
      <c r="A652" s="129"/>
      <c r="B652" s="130"/>
      <c r="C652" s="131"/>
      <c r="D652" s="132">
        <v>0.3</v>
      </c>
      <c r="E652" s="138">
        <v>1</v>
      </c>
      <c r="F652" s="134"/>
      <c r="G652" s="135">
        <v>7</v>
      </c>
      <c r="H652" s="136"/>
      <c r="I652" s="139">
        <f t="shared" si="25"/>
        <v>2.1</v>
      </c>
    </row>
    <row r="653" spans="1:9" s="2" customFormat="1">
      <c r="A653" s="108"/>
      <c r="B653" s="109"/>
      <c r="C653" s="110"/>
      <c r="D653" s="111"/>
      <c r="E653" s="112"/>
      <c r="F653" s="113"/>
      <c r="G653" s="114"/>
      <c r="H653" s="115"/>
      <c r="I653" s="118">
        <f t="shared" si="25"/>
        <v>0</v>
      </c>
    </row>
    <row r="654" spans="1:9" s="2" customFormat="1">
      <c r="A654" s="108"/>
      <c r="B654" s="109"/>
      <c r="C654" s="110"/>
      <c r="D654" s="111"/>
      <c r="E654" s="112"/>
      <c r="F654" s="113"/>
      <c r="G654" s="114"/>
      <c r="H654" s="115"/>
      <c r="I654" s="118">
        <f t="shared" si="25"/>
        <v>0</v>
      </c>
    </row>
    <row r="655" spans="1:9" s="2" customFormat="1">
      <c r="A655" s="108"/>
      <c r="B655" s="109"/>
      <c r="C655" s="110"/>
      <c r="D655" s="111"/>
      <c r="E655" s="112"/>
      <c r="F655" s="113"/>
      <c r="G655" s="114"/>
      <c r="H655" s="115"/>
      <c r="I655" s="118">
        <f t="shared" si="25"/>
        <v>0</v>
      </c>
    </row>
    <row r="656" spans="1:9" s="2" customFormat="1">
      <c r="A656" s="90"/>
      <c r="B656" s="91"/>
      <c r="C656" s="92"/>
      <c r="D656" s="93" t="s">
        <v>74</v>
      </c>
      <c r="E656" s="94"/>
      <c r="F656" s="95"/>
      <c r="G656" s="96" t="s">
        <v>75</v>
      </c>
      <c r="H656" s="97" t="s">
        <v>168</v>
      </c>
      <c r="I656" s="119">
        <f>SUBTOTAL(9,I648:I655)</f>
        <v>7.3000000000000007</v>
      </c>
    </row>
    <row r="657" spans="1:9" s="2" customFormat="1"/>
    <row r="658" spans="1:9" s="2" customFormat="1"/>
    <row r="659" spans="1:9" s="2" customFormat="1">
      <c r="A659" s="81" t="s">
        <v>327</v>
      </c>
      <c r="B659" s="82" t="s">
        <v>328</v>
      </c>
      <c r="C659" s="83"/>
      <c r="D659" s="84"/>
      <c r="E659" s="85"/>
      <c r="F659" s="86"/>
      <c r="G659" s="87"/>
      <c r="H659" s="88"/>
      <c r="I659" s="89"/>
    </row>
    <row r="660" spans="1:9" s="2" customFormat="1"/>
    <row r="661" spans="1:9" s="2" customFormat="1"/>
    <row r="662" spans="1:9" s="2" customFormat="1">
      <c r="A662" s="81" t="s">
        <v>329</v>
      </c>
      <c r="B662" s="82" t="s">
        <v>330</v>
      </c>
      <c r="C662" s="83"/>
      <c r="D662" s="84"/>
      <c r="E662" s="85"/>
      <c r="F662" s="86"/>
      <c r="G662" s="87"/>
      <c r="H662" s="88"/>
      <c r="I662" s="89"/>
    </row>
    <row r="663" spans="1:9" s="2" customFormat="1"/>
    <row r="664" spans="1:9" s="2" customFormat="1"/>
    <row r="665" spans="1:9" s="2" customFormat="1">
      <c r="A665" s="81" t="s">
        <v>331</v>
      </c>
      <c r="B665" s="82" t="s">
        <v>332</v>
      </c>
      <c r="C665" s="83"/>
      <c r="D665" s="84"/>
      <c r="E665" s="85"/>
      <c r="F665" s="86"/>
      <c r="G665" s="87"/>
      <c r="H665" s="88"/>
      <c r="I665" s="89"/>
    </row>
    <row r="666" spans="1:9" s="2" customFormat="1"/>
    <row r="667" spans="1:9" s="2" customFormat="1"/>
    <row r="668" spans="1:9" s="2" customFormat="1">
      <c r="A668" s="81" t="s">
        <v>333</v>
      </c>
      <c r="B668" s="82" t="s">
        <v>334</v>
      </c>
      <c r="C668" s="83"/>
      <c r="D668" s="84"/>
      <c r="E668" s="85"/>
      <c r="F668" s="86"/>
      <c r="G668" s="87"/>
      <c r="H668" s="88"/>
      <c r="I668" s="89"/>
    </row>
    <row r="669" spans="1:9" s="2" customFormat="1">
      <c r="A669" s="99"/>
      <c r="B669" s="100" t="s">
        <v>70</v>
      </c>
      <c r="C669" s="101"/>
      <c r="D669" s="102" t="s">
        <v>89</v>
      </c>
      <c r="E669" s="103"/>
      <c r="F669" s="104"/>
      <c r="G669" s="105" t="s">
        <v>71</v>
      </c>
      <c r="H669" s="106"/>
      <c r="I669" s="107" t="s">
        <v>72</v>
      </c>
    </row>
    <row r="670" spans="1:9" s="2" customFormat="1">
      <c r="A670" s="108"/>
      <c r="B670" s="109"/>
      <c r="C670" s="110"/>
      <c r="D670" s="111"/>
      <c r="E670" s="112"/>
      <c r="F670" s="113"/>
      <c r="G670" s="114"/>
      <c r="H670" s="115"/>
      <c r="I670" s="118">
        <f t="shared" ref="I670:I673" si="26">ROUND(PRODUCT(ROUND(PRODUCT(D670,E670,F670),2),G670,H670),2)</f>
        <v>0</v>
      </c>
    </row>
    <row r="671" spans="1:9" s="2" customFormat="1">
      <c r="A671" s="108"/>
      <c r="B671" s="109"/>
      <c r="C671" s="110"/>
      <c r="D671" s="111">
        <v>1.1000000000000001</v>
      </c>
      <c r="E671" s="112"/>
      <c r="F671" s="113"/>
      <c r="G671" s="114"/>
      <c r="H671" s="115"/>
      <c r="I671" s="118">
        <f t="shared" si="26"/>
        <v>1.1000000000000001</v>
      </c>
    </row>
    <row r="672" spans="1:9" s="2" customFormat="1">
      <c r="A672" s="108"/>
      <c r="B672" s="109"/>
      <c r="C672" s="110"/>
      <c r="D672" s="111"/>
      <c r="E672" s="112"/>
      <c r="F672" s="113"/>
      <c r="G672" s="114"/>
      <c r="H672" s="115"/>
      <c r="I672" s="118">
        <f t="shared" si="26"/>
        <v>0</v>
      </c>
    </row>
    <row r="673" spans="1:9" s="2" customFormat="1">
      <c r="A673" s="108"/>
      <c r="B673" s="109"/>
      <c r="C673" s="110"/>
      <c r="D673" s="111"/>
      <c r="E673" s="112"/>
      <c r="F673" s="113"/>
      <c r="G673" s="114"/>
      <c r="H673" s="115"/>
      <c r="I673" s="118">
        <f t="shared" si="26"/>
        <v>0</v>
      </c>
    </row>
    <row r="674" spans="1:9" s="2" customFormat="1">
      <c r="A674" s="90"/>
      <c r="B674" s="91"/>
      <c r="C674" s="92"/>
      <c r="D674" s="93" t="s">
        <v>74</v>
      </c>
      <c r="E674" s="94"/>
      <c r="F674" s="95"/>
      <c r="G674" s="96" t="s">
        <v>75</v>
      </c>
      <c r="H674" s="97" t="s">
        <v>90</v>
      </c>
      <c r="I674" s="119">
        <f>SUBTOTAL(9,I670:I673)</f>
        <v>1.1000000000000001</v>
      </c>
    </row>
    <row r="675" spans="1:9" s="2" customFormat="1"/>
    <row r="676" spans="1:9" s="2" customFormat="1"/>
    <row r="677" spans="1:9" s="2" customFormat="1">
      <c r="A677" s="81" t="s">
        <v>335</v>
      </c>
      <c r="B677" s="82" t="s">
        <v>336</v>
      </c>
      <c r="C677" s="83"/>
      <c r="D677" s="84"/>
      <c r="E677" s="85"/>
      <c r="F677" s="86"/>
      <c r="G677" s="87"/>
      <c r="H677" s="88"/>
      <c r="I677" s="89"/>
    </row>
    <row r="678" spans="1:9" s="2" customFormat="1"/>
    <row r="679" spans="1:9" s="2" customFormat="1"/>
    <row r="680" spans="1:9" s="2" customFormat="1">
      <c r="A680" s="81" t="s">
        <v>337</v>
      </c>
      <c r="B680" s="82" t="s">
        <v>338</v>
      </c>
      <c r="C680" s="83"/>
      <c r="D680" s="84"/>
      <c r="E680" s="85"/>
      <c r="F680" s="86"/>
      <c r="G680" s="87"/>
      <c r="H680" s="88"/>
      <c r="I680" s="89"/>
    </row>
    <row r="681" spans="1:9" s="2" customFormat="1"/>
    <row r="682" spans="1:9" s="2" customFormat="1"/>
    <row r="683" spans="1:9" s="2" customFormat="1">
      <c r="A683" s="81" t="s">
        <v>339</v>
      </c>
      <c r="B683" s="82" t="s">
        <v>340</v>
      </c>
      <c r="C683" s="83"/>
      <c r="D683" s="84"/>
      <c r="E683" s="85"/>
      <c r="F683" s="86"/>
      <c r="G683" s="87"/>
      <c r="H683" s="88"/>
      <c r="I683" s="89"/>
    </row>
    <row r="684" spans="1:9" s="2" customFormat="1">
      <c r="A684" s="90"/>
      <c r="B684" s="91"/>
      <c r="C684" s="92"/>
      <c r="D684" s="93" t="s">
        <v>74</v>
      </c>
      <c r="E684" s="94"/>
      <c r="F684" s="95"/>
      <c r="G684" s="96" t="s">
        <v>91</v>
      </c>
      <c r="H684" s="97"/>
      <c r="I684" s="98"/>
    </row>
    <row r="685" spans="1:9" s="2" customFormat="1"/>
    <row r="686" spans="1:9" s="2" customFormat="1"/>
    <row r="687" spans="1:9" s="2" customFormat="1">
      <c r="A687" s="81" t="s">
        <v>341</v>
      </c>
      <c r="B687" s="82" t="s">
        <v>342</v>
      </c>
      <c r="C687" s="83"/>
      <c r="D687" s="84"/>
      <c r="E687" s="85"/>
      <c r="F687" s="86"/>
      <c r="G687" s="87"/>
      <c r="H687" s="88"/>
      <c r="I687" s="89"/>
    </row>
    <row r="688" spans="1:9" s="2" customFormat="1"/>
    <row r="689" spans="1:9" s="2" customFormat="1"/>
    <row r="690" spans="1:9" s="2" customFormat="1">
      <c r="A690" s="81" t="s">
        <v>343</v>
      </c>
      <c r="B690" s="82" t="s">
        <v>317</v>
      </c>
      <c r="C690" s="83"/>
      <c r="D690" s="84"/>
      <c r="E690" s="85"/>
      <c r="F690" s="86"/>
      <c r="G690" s="87"/>
      <c r="H690" s="88"/>
      <c r="I690" s="89"/>
    </row>
    <row r="691" spans="1:9" s="2" customFormat="1"/>
    <row r="692" spans="1:9" s="2" customFormat="1"/>
    <row r="693" spans="1:9" s="2" customFormat="1">
      <c r="A693" s="81" t="s">
        <v>344</v>
      </c>
      <c r="B693" s="82" t="s">
        <v>345</v>
      </c>
      <c r="C693" s="83"/>
      <c r="D693" s="84"/>
      <c r="E693" s="85"/>
      <c r="F693" s="86"/>
      <c r="G693" s="87"/>
      <c r="H693" s="88"/>
      <c r="I693" s="89"/>
    </row>
    <row r="694" spans="1:9" s="2" customFormat="1"/>
    <row r="695" spans="1:9" s="2" customFormat="1"/>
    <row r="696" spans="1:9" s="2" customFormat="1">
      <c r="A696" s="81" t="s">
        <v>346</v>
      </c>
      <c r="B696" s="82" t="s">
        <v>347</v>
      </c>
      <c r="C696" s="83"/>
      <c r="D696" s="84"/>
      <c r="E696" s="85"/>
      <c r="F696" s="86"/>
      <c r="G696" s="87"/>
      <c r="H696" s="88"/>
      <c r="I696" s="89"/>
    </row>
    <row r="697" spans="1:9" s="2" customFormat="1">
      <c r="A697" s="99"/>
      <c r="B697" s="100" t="s">
        <v>70</v>
      </c>
      <c r="C697" s="101"/>
      <c r="D697" s="102" t="s">
        <v>348</v>
      </c>
      <c r="E697" s="103"/>
      <c r="F697" s="104"/>
      <c r="G697" s="105" t="s">
        <v>71</v>
      </c>
      <c r="H697" s="106"/>
      <c r="I697" s="107" t="s">
        <v>72</v>
      </c>
    </row>
    <row r="698" spans="1:9" s="2" customFormat="1">
      <c r="A698" s="108"/>
      <c r="B698" s="109"/>
      <c r="C698" s="110"/>
      <c r="D698" s="111"/>
      <c r="E698" s="112"/>
      <c r="F698" s="113"/>
      <c r="G698" s="114"/>
      <c r="H698" s="115"/>
      <c r="I698" s="116">
        <f t="shared" ref="I698:I701" si="27">ROUND(PRODUCT(ROUND(PRODUCT(D698,E698,F698),3),G698,H698),3)</f>
        <v>0</v>
      </c>
    </row>
    <row r="699" spans="1:9" s="2" customFormat="1">
      <c r="A699" s="108"/>
      <c r="B699" s="109"/>
      <c r="C699" s="110" t="s">
        <v>430</v>
      </c>
      <c r="D699" s="111">
        <v>2</v>
      </c>
      <c r="E699" s="144">
        <f>E708</f>
        <v>219.56</v>
      </c>
      <c r="F699" s="113"/>
      <c r="G699" s="114"/>
      <c r="H699" s="115"/>
      <c r="I699" s="116">
        <f t="shared" si="27"/>
        <v>439.12</v>
      </c>
    </row>
    <row r="700" spans="1:9" s="2" customFormat="1">
      <c r="A700" s="108"/>
      <c r="B700" s="109"/>
      <c r="C700" s="110" t="s">
        <v>431</v>
      </c>
      <c r="D700" s="111">
        <v>4</v>
      </c>
      <c r="E700" s="144">
        <f>E709</f>
        <v>99.6</v>
      </c>
      <c r="F700" s="113"/>
      <c r="G700" s="114"/>
      <c r="H700" s="115"/>
      <c r="I700" s="116">
        <f t="shared" si="27"/>
        <v>398.4</v>
      </c>
    </row>
    <row r="701" spans="1:9" s="2" customFormat="1">
      <c r="A701" s="108"/>
      <c r="B701" s="109"/>
      <c r="C701" s="110"/>
      <c r="D701" s="111"/>
      <c r="E701" s="112"/>
      <c r="F701" s="113"/>
      <c r="G701" s="114"/>
      <c r="H701" s="115"/>
      <c r="I701" s="116">
        <f t="shared" si="27"/>
        <v>0</v>
      </c>
    </row>
    <row r="702" spans="1:9" s="2" customFormat="1">
      <c r="A702" s="90"/>
      <c r="B702" s="91"/>
      <c r="C702" s="92"/>
      <c r="D702" s="93" t="s">
        <v>74</v>
      </c>
      <c r="E702" s="94"/>
      <c r="F702" s="95"/>
      <c r="G702" s="96" t="s">
        <v>75</v>
      </c>
      <c r="H702" s="97" t="s">
        <v>349</v>
      </c>
      <c r="I702" s="117">
        <f>SUBTOTAL(9,I698:I701)</f>
        <v>837.52</v>
      </c>
    </row>
    <row r="703" spans="1:9" s="2" customFormat="1"/>
    <row r="704" spans="1:9" s="2" customFormat="1"/>
    <row r="705" spans="1:9" s="2" customFormat="1">
      <c r="A705" s="81" t="s">
        <v>350</v>
      </c>
      <c r="B705" s="82" t="s">
        <v>351</v>
      </c>
      <c r="C705" s="83"/>
      <c r="D705" s="84"/>
      <c r="E705" s="85"/>
      <c r="F705" s="86"/>
      <c r="G705" s="87"/>
      <c r="H705" s="88"/>
      <c r="I705" s="89"/>
    </row>
    <row r="706" spans="1:9" s="2" customFormat="1">
      <c r="A706" s="99"/>
      <c r="B706" s="100" t="s">
        <v>70</v>
      </c>
      <c r="C706" s="101"/>
      <c r="D706" s="102" t="s">
        <v>348</v>
      </c>
      <c r="E706" s="103"/>
      <c r="F706" s="104"/>
      <c r="G706" s="105" t="s">
        <v>71</v>
      </c>
      <c r="H706" s="106"/>
      <c r="I706" s="107" t="s">
        <v>72</v>
      </c>
    </row>
    <row r="707" spans="1:9" s="2" customFormat="1">
      <c r="A707" s="108"/>
      <c r="B707" s="109"/>
      <c r="C707" s="110"/>
      <c r="D707" s="111"/>
      <c r="E707" s="112"/>
      <c r="F707" s="113"/>
      <c r="G707" s="114"/>
      <c r="H707" s="115"/>
      <c r="I707" s="116">
        <f t="shared" ref="I707:I710" si="28">ROUND(PRODUCT(ROUND(PRODUCT(D707,E707,F707),3),G707,H707),3)</f>
        <v>0</v>
      </c>
    </row>
    <row r="708" spans="1:9" s="2" customFormat="1">
      <c r="A708" s="108"/>
      <c r="B708" s="109"/>
      <c r="C708" s="110" t="s">
        <v>430</v>
      </c>
      <c r="D708" s="111">
        <f>5.4*1.3</f>
        <v>7.0200000000000005</v>
      </c>
      <c r="E708" s="144">
        <f>I392</f>
        <v>219.56</v>
      </c>
      <c r="F708" s="113"/>
      <c r="G708" s="114"/>
      <c r="H708" s="115"/>
      <c r="I708" s="116">
        <f t="shared" si="28"/>
        <v>1541.3109999999999</v>
      </c>
    </row>
    <row r="709" spans="1:9" s="2" customFormat="1">
      <c r="A709" s="108"/>
      <c r="B709" s="109"/>
      <c r="C709" s="110" t="s">
        <v>431</v>
      </c>
      <c r="D709" s="111">
        <f>5.4*1.3</f>
        <v>7.0200000000000005</v>
      </c>
      <c r="E709" s="144">
        <f>I771</f>
        <v>99.6</v>
      </c>
      <c r="F709" s="113"/>
      <c r="G709" s="114"/>
      <c r="H709" s="115"/>
      <c r="I709" s="116">
        <f t="shared" si="28"/>
        <v>699.19200000000001</v>
      </c>
    </row>
    <row r="710" spans="1:9" s="2" customFormat="1">
      <c r="A710" s="108"/>
      <c r="B710" s="109"/>
      <c r="C710" s="110"/>
      <c r="D710" s="111"/>
      <c r="E710" s="112"/>
      <c r="F710" s="113"/>
      <c r="G710" s="114"/>
      <c r="H710" s="115"/>
      <c r="I710" s="116">
        <f t="shared" si="28"/>
        <v>0</v>
      </c>
    </row>
    <row r="711" spans="1:9" s="2" customFormat="1">
      <c r="A711" s="90"/>
      <c r="B711" s="91"/>
      <c r="C711" s="92"/>
      <c r="D711" s="93" t="s">
        <v>74</v>
      </c>
      <c r="E711" s="94"/>
      <c r="F711" s="95"/>
      <c r="G711" s="96" t="s">
        <v>75</v>
      </c>
      <c r="H711" s="97" t="s">
        <v>349</v>
      </c>
      <c r="I711" s="117">
        <f>SUBTOTAL(9,I707:I710)</f>
        <v>2240.5029999999997</v>
      </c>
    </row>
    <row r="712" spans="1:9" s="2" customFormat="1"/>
    <row r="713" spans="1:9" s="2" customFormat="1"/>
    <row r="714" spans="1:9" s="2" customFormat="1">
      <c r="A714" s="81" t="s">
        <v>352</v>
      </c>
      <c r="B714" s="82" t="s">
        <v>353</v>
      </c>
      <c r="C714" s="83"/>
      <c r="D714" s="84"/>
      <c r="E714" s="85"/>
      <c r="F714" s="86"/>
      <c r="G714" s="87"/>
      <c r="H714" s="88"/>
      <c r="I714" s="89"/>
    </row>
    <row r="715" spans="1:9" s="2" customFormat="1"/>
    <row r="716" spans="1:9" s="2" customFormat="1"/>
    <row r="717" spans="1:9" s="2" customFormat="1">
      <c r="A717" s="81" t="s">
        <v>354</v>
      </c>
      <c r="B717" s="82" t="s">
        <v>355</v>
      </c>
      <c r="C717" s="83"/>
      <c r="D717" s="84"/>
      <c r="E717" s="85"/>
      <c r="F717" s="86"/>
      <c r="G717" s="87"/>
      <c r="H717" s="88"/>
      <c r="I717" s="89"/>
    </row>
    <row r="718" spans="1:9" s="2" customFormat="1">
      <c r="A718" s="99"/>
      <c r="B718" s="100" t="s">
        <v>70</v>
      </c>
      <c r="C718" s="101"/>
      <c r="D718" s="102" t="s">
        <v>348</v>
      </c>
      <c r="E718" s="103"/>
      <c r="F718" s="104"/>
      <c r="G718" s="105" t="s">
        <v>71</v>
      </c>
      <c r="H718" s="106"/>
      <c r="I718" s="107" t="s">
        <v>72</v>
      </c>
    </row>
    <row r="719" spans="1:9" s="2" customFormat="1">
      <c r="A719" s="108"/>
      <c r="B719" s="109"/>
      <c r="C719" s="110"/>
      <c r="D719" s="111"/>
      <c r="E719" s="112"/>
      <c r="F719" s="113"/>
      <c r="G719" s="114"/>
      <c r="H719" s="115"/>
      <c r="I719" s="116">
        <f t="shared" ref="I719:I722" si="29">ROUND(PRODUCT(ROUND(PRODUCT(D719,E719,F719),3),G719,H719),3)</f>
        <v>0</v>
      </c>
    </row>
    <row r="720" spans="1:9" s="2" customFormat="1">
      <c r="A720" s="108"/>
      <c r="B720" s="109"/>
      <c r="C720" s="110" t="s">
        <v>430</v>
      </c>
      <c r="D720" s="111">
        <v>60</v>
      </c>
      <c r="E720" s="144">
        <f>I392*0.15</f>
        <v>32.933999999999997</v>
      </c>
      <c r="F720" s="113"/>
      <c r="G720" s="114"/>
      <c r="H720" s="115"/>
      <c r="I720" s="116"/>
    </row>
    <row r="721" spans="1:9" s="2" customFormat="1">
      <c r="A721" s="108"/>
      <c r="B721" s="109"/>
      <c r="C721" s="110" t="s">
        <v>431</v>
      </c>
      <c r="D721" s="111">
        <f>D720</f>
        <v>60</v>
      </c>
      <c r="E721" s="112">
        <f>I771*0.16</f>
        <v>15.936</v>
      </c>
      <c r="F721" s="113"/>
      <c r="G721" s="114"/>
      <c r="H721" s="115"/>
      <c r="I721" s="116"/>
    </row>
    <row r="722" spans="1:9" s="2" customFormat="1">
      <c r="A722" s="108"/>
      <c r="B722" s="109"/>
      <c r="C722" s="110"/>
      <c r="D722" s="111"/>
      <c r="E722" s="112"/>
      <c r="F722" s="113"/>
      <c r="G722" s="114"/>
      <c r="H722" s="115"/>
      <c r="I722" s="116">
        <f t="shared" si="29"/>
        <v>0</v>
      </c>
    </row>
    <row r="723" spans="1:9" s="2" customFormat="1">
      <c r="A723" s="90"/>
      <c r="B723" s="91"/>
      <c r="C723" s="92"/>
      <c r="D723" s="93" t="s">
        <v>74</v>
      </c>
      <c r="E723" s="94"/>
      <c r="F723" s="95"/>
      <c r="G723" s="96" t="s">
        <v>448</v>
      </c>
      <c r="H723" s="97" t="s">
        <v>349</v>
      </c>
      <c r="I723" s="117">
        <f>SUBTOTAL(9,I719:I722)</f>
        <v>0</v>
      </c>
    </row>
    <row r="724" spans="1:9" s="2" customFormat="1"/>
    <row r="725" spans="1:9" s="2" customFormat="1"/>
    <row r="726" spans="1:9" s="2" customFormat="1">
      <c r="A726" s="81" t="s">
        <v>356</v>
      </c>
      <c r="B726" s="82" t="s">
        <v>357</v>
      </c>
      <c r="C726" s="83"/>
      <c r="D726" s="84"/>
      <c r="E726" s="85"/>
      <c r="F726" s="86"/>
      <c r="G726" s="87"/>
      <c r="H726" s="88"/>
      <c r="I726" s="89"/>
    </row>
    <row r="727" spans="1:9" s="2" customFormat="1"/>
    <row r="728" spans="1:9" s="2" customFormat="1"/>
    <row r="729" spans="1:9" s="2" customFormat="1">
      <c r="A729" s="81" t="s">
        <v>358</v>
      </c>
      <c r="B729" s="82" t="s">
        <v>359</v>
      </c>
      <c r="C729" s="83"/>
      <c r="D729" s="84"/>
      <c r="E729" s="85"/>
      <c r="F729" s="86"/>
      <c r="G729" s="87"/>
      <c r="H729" s="88"/>
      <c r="I729" s="89"/>
    </row>
    <row r="730" spans="1:9" s="2" customFormat="1"/>
    <row r="731" spans="1:9" s="2" customFormat="1"/>
    <row r="732" spans="1:9" s="2" customFormat="1">
      <c r="A732" s="81" t="s">
        <v>360</v>
      </c>
      <c r="B732" s="82" t="s">
        <v>361</v>
      </c>
      <c r="C732" s="83"/>
      <c r="D732" s="84"/>
      <c r="E732" s="85"/>
      <c r="F732" s="86"/>
      <c r="G732" s="87"/>
      <c r="H732" s="88"/>
      <c r="I732" s="89"/>
    </row>
    <row r="733" spans="1:9" s="2" customFormat="1">
      <c r="A733" s="90"/>
      <c r="B733" s="91"/>
      <c r="C733" s="92"/>
      <c r="D733" s="93" t="s">
        <v>74</v>
      </c>
      <c r="E733" s="94"/>
      <c r="F733" s="95"/>
      <c r="G733" s="96" t="s">
        <v>91</v>
      </c>
      <c r="H733" s="97"/>
      <c r="I733" s="98"/>
    </row>
    <row r="734" spans="1:9" s="2" customFormat="1"/>
    <row r="735" spans="1:9" s="2" customFormat="1"/>
    <row r="736" spans="1:9" s="2" customFormat="1">
      <c r="A736" s="81" t="s">
        <v>362</v>
      </c>
      <c r="B736" s="82" t="s">
        <v>363</v>
      </c>
      <c r="C736" s="83"/>
      <c r="D736" s="84"/>
      <c r="E736" s="85"/>
      <c r="F736" s="86"/>
      <c r="G736" s="87"/>
      <c r="H736" s="88"/>
      <c r="I736" s="89"/>
    </row>
    <row r="737" spans="1:9" s="2" customFormat="1">
      <c r="A737" s="90"/>
      <c r="B737" s="91"/>
      <c r="C737" s="92"/>
      <c r="D737" s="93" t="s">
        <v>74</v>
      </c>
      <c r="E737" s="94"/>
      <c r="F737" s="95"/>
      <c r="G737" s="96" t="s">
        <v>91</v>
      </c>
      <c r="H737" s="97"/>
      <c r="I737" s="98"/>
    </row>
    <row r="738" spans="1:9" s="2" customFormat="1"/>
    <row r="739" spans="1:9" s="2" customFormat="1"/>
    <row r="740" spans="1:9" s="2" customFormat="1">
      <c r="A740" s="81" t="s">
        <v>364</v>
      </c>
      <c r="B740" s="82" t="s">
        <v>365</v>
      </c>
      <c r="C740" s="83"/>
      <c r="D740" s="84"/>
      <c r="E740" s="85"/>
      <c r="F740" s="86"/>
      <c r="G740" s="87"/>
      <c r="H740" s="88"/>
      <c r="I740" s="89"/>
    </row>
    <row r="741" spans="1:9" s="2" customFormat="1"/>
    <row r="742" spans="1:9" s="2" customFormat="1"/>
    <row r="743" spans="1:9" s="2" customFormat="1">
      <c r="A743" s="81" t="s">
        <v>366</v>
      </c>
      <c r="B743" s="82" t="s">
        <v>367</v>
      </c>
      <c r="C743" s="83"/>
      <c r="D743" s="84"/>
      <c r="E743" s="85"/>
      <c r="F743" s="86"/>
      <c r="G743" s="87"/>
      <c r="H743" s="88"/>
      <c r="I743" s="89"/>
    </row>
    <row r="744" spans="1:9" s="2" customFormat="1">
      <c r="A744" s="99"/>
      <c r="B744" s="100" t="s">
        <v>70</v>
      </c>
      <c r="C744" s="101"/>
      <c r="D744" s="102" t="s">
        <v>89</v>
      </c>
      <c r="E744" s="103" t="s">
        <v>160</v>
      </c>
      <c r="F744" s="104" t="s">
        <v>161</v>
      </c>
      <c r="G744" s="105" t="s">
        <v>71</v>
      </c>
      <c r="H744" s="106"/>
      <c r="I744" s="107" t="s">
        <v>72</v>
      </c>
    </row>
    <row r="745" spans="1:9" s="2" customFormat="1">
      <c r="A745" s="108"/>
      <c r="B745" s="109"/>
      <c r="C745" s="110"/>
      <c r="D745" s="111"/>
      <c r="E745" s="112"/>
      <c r="F745" s="113"/>
      <c r="G745" s="114"/>
      <c r="H745" s="115"/>
      <c r="I745" s="116">
        <f t="shared" ref="I745:I748" si="30">ROUND(PRODUCT(ROUND(PRODUCT(D745,E745,F745),3),G745,H745),3)</f>
        <v>0</v>
      </c>
    </row>
    <row r="746" spans="1:9" s="2" customFormat="1">
      <c r="A746" s="108"/>
      <c r="B746" s="109" t="s">
        <v>429</v>
      </c>
      <c r="C746" s="110"/>
      <c r="D746" s="111">
        <v>0.2</v>
      </c>
      <c r="E746" s="112">
        <v>0.15</v>
      </c>
      <c r="F746" s="113">
        <v>0.2</v>
      </c>
      <c r="G746" s="114">
        <v>2</v>
      </c>
      <c r="H746" s="115"/>
      <c r="I746" s="116">
        <f t="shared" si="30"/>
        <v>1.2E-2</v>
      </c>
    </row>
    <row r="747" spans="1:9" s="2" customFormat="1">
      <c r="A747" s="108"/>
      <c r="B747" s="109"/>
      <c r="C747" s="110"/>
      <c r="D747" s="111"/>
      <c r="E747" s="112"/>
      <c r="F747" s="113"/>
      <c r="G747" s="114"/>
      <c r="H747" s="115"/>
      <c r="I747" s="116">
        <f t="shared" si="30"/>
        <v>0</v>
      </c>
    </row>
    <row r="748" spans="1:9" s="2" customFormat="1">
      <c r="A748" s="108"/>
      <c r="B748" s="109"/>
      <c r="C748" s="110"/>
      <c r="D748" s="111"/>
      <c r="E748" s="112"/>
      <c r="F748" s="113"/>
      <c r="G748" s="114"/>
      <c r="H748" s="115"/>
      <c r="I748" s="116">
        <f t="shared" si="30"/>
        <v>0</v>
      </c>
    </row>
    <row r="749" spans="1:9" s="2" customFormat="1">
      <c r="A749" s="90"/>
      <c r="B749" s="91"/>
      <c r="C749" s="92"/>
      <c r="D749" s="93" t="s">
        <v>74</v>
      </c>
      <c r="E749" s="94"/>
      <c r="F749" s="95"/>
      <c r="G749" s="96" t="s">
        <v>75</v>
      </c>
      <c r="H749" s="97" t="s">
        <v>162</v>
      </c>
      <c r="I749" s="117">
        <f>SUBTOTAL(9,I745:I748)</f>
        <v>1.2E-2</v>
      </c>
    </row>
    <row r="750" spans="1:9" s="2" customFormat="1"/>
    <row r="751" spans="1:9" s="2" customFormat="1"/>
    <row r="752" spans="1:9" s="2" customFormat="1">
      <c r="A752" s="81" t="s">
        <v>368</v>
      </c>
      <c r="B752" s="82" t="s">
        <v>369</v>
      </c>
      <c r="C752" s="83"/>
      <c r="D752" s="84"/>
      <c r="E752" s="85"/>
      <c r="F752" s="86"/>
      <c r="G752" s="87"/>
      <c r="H752" s="88"/>
      <c r="I752" s="89"/>
    </row>
    <row r="753" spans="1:9" s="2" customFormat="1"/>
    <row r="754" spans="1:9" s="2" customFormat="1"/>
    <row r="755" spans="1:9" s="2" customFormat="1">
      <c r="A755" s="81" t="s">
        <v>370</v>
      </c>
      <c r="B755" s="82" t="s">
        <v>371</v>
      </c>
      <c r="C755" s="83"/>
      <c r="D755" s="84"/>
      <c r="E755" s="85"/>
      <c r="F755" s="86"/>
      <c r="G755" s="87"/>
      <c r="H755" s="88"/>
      <c r="I755" s="89"/>
    </row>
    <row r="756" spans="1:9" s="2" customFormat="1">
      <c r="A756" s="90"/>
      <c r="B756" s="91"/>
      <c r="C756" s="92"/>
      <c r="D756" s="93" t="s">
        <v>74</v>
      </c>
      <c r="E756" s="94"/>
      <c r="F756" s="95"/>
      <c r="G756" s="96" t="s">
        <v>91</v>
      </c>
      <c r="H756" s="97"/>
      <c r="I756" s="98"/>
    </row>
    <row r="757" spans="1:9" s="2" customFormat="1"/>
    <row r="758" spans="1:9" s="2" customFormat="1"/>
    <row r="759" spans="1:9" s="2" customFormat="1">
      <c r="A759" s="81" t="s">
        <v>372</v>
      </c>
      <c r="B759" s="82" t="s">
        <v>373</v>
      </c>
      <c r="C759" s="83"/>
      <c r="D759" s="84"/>
      <c r="E759" s="85"/>
      <c r="F759" s="86"/>
      <c r="G759" s="87"/>
      <c r="H759" s="88"/>
      <c r="I759" s="89"/>
    </row>
    <row r="760" spans="1:9" s="2" customFormat="1"/>
    <row r="761" spans="1:9" s="2" customFormat="1"/>
    <row r="762" spans="1:9" s="2" customFormat="1">
      <c r="A762" s="81" t="s">
        <v>374</v>
      </c>
      <c r="B762" s="82" t="s">
        <v>375</v>
      </c>
      <c r="C762" s="83"/>
      <c r="D762" s="84"/>
      <c r="E762" s="85"/>
      <c r="F762" s="86"/>
      <c r="G762" s="87"/>
      <c r="H762" s="88"/>
      <c r="I762" s="89"/>
    </row>
    <row r="763" spans="1:9" s="2" customFormat="1"/>
    <row r="764" spans="1:9" s="2" customFormat="1"/>
    <row r="765" spans="1:9" s="2" customFormat="1">
      <c r="A765" s="81" t="s">
        <v>376</v>
      </c>
      <c r="B765" s="82" t="s">
        <v>451</v>
      </c>
      <c r="C765" s="83"/>
      <c r="D765" s="84"/>
      <c r="E765" s="85"/>
      <c r="F765" s="86"/>
      <c r="G765" s="87"/>
      <c r="H765" s="88"/>
      <c r="I765" s="89"/>
    </row>
    <row r="766" spans="1:9" s="2" customFormat="1">
      <c r="A766" s="99"/>
      <c r="B766" s="100" t="s">
        <v>70</v>
      </c>
      <c r="C766" s="101"/>
      <c r="D766" s="102" t="s">
        <v>89</v>
      </c>
      <c r="E766" s="103" t="s">
        <v>160</v>
      </c>
      <c r="F766" s="104"/>
      <c r="G766" s="105" t="s">
        <v>71</v>
      </c>
      <c r="H766" s="106"/>
      <c r="I766" s="107" t="s">
        <v>72</v>
      </c>
    </row>
    <row r="767" spans="1:9" s="2" customFormat="1">
      <c r="A767" s="108"/>
      <c r="B767" s="109"/>
      <c r="C767" s="110"/>
      <c r="D767" s="111"/>
      <c r="E767" s="112"/>
      <c r="F767" s="113"/>
      <c r="G767" s="114"/>
      <c r="H767" s="115"/>
      <c r="I767" s="118">
        <f t="shared" ref="I767:I770" si="31">ROUND(PRODUCT(ROUND(PRODUCT(D767,E767,F767),2),G767,H767),2)</f>
        <v>0</v>
      </c>
    </row>
    <row r="768" spans="1:9" customFormat="1">
      <c r="A768" s="129"/>
      <c r="B768" s="130" t="s">
        <v>426</v>
      </c>
      <c r="C768" s="131" t="s">
        <v>427</v>
      </c>
      <c r="D768" s="132">
        <v>16.600000000000001</v>
      </c>
      <c r="E768" s="138">
        <v>6</v>
      </c>
      <c r="F768" s="134"/>
      <c r="G768" s="135"/>
      <c r="H768" s="136"/>
      <c r="I768" s="145">
        <f t="shared" ref="I768" si="32">ROUND(PRODUCT(ROUND(PRODUCT(D768,E768,F768),3),G768,H768),3)</f>
        <v>99.6</v>
      </c>
    </row>
    <row r="769" spans="1:9" s="2" customFormat="1">
      <c r="A769" s="108"/>
      <c r="B769" s="109"/>
      <c r="C769" s="110"/>
      <c r="D769" s="111"/>
      <c r="E769" s="112"/>
      <c r="F769" s="113"/>
      <c r="G769" s="114"/>
      <c r="H769" s="115"/>
      <c r="I769" s="118">
        <f t="shared" si="31"/>
        <v>0</v>
      </c>
    </row>
    <row r="770" spans="1:9" s="2" customFormat="1">
      <c r="A770" s="108"/>
      <c r="B770" s="109"/>
      <c r="C770" s="110"/>
      <c r="D770" s="111"/>
      <c r="E770" s="112"/>
      <c r="F770" s="113"/>
      <c r="G770" s="114"/>
      <c r="H770" s="115"/>
      <c r="I770" s="118">
        <f t="shared" si="31"/>
        <v>0</v>
      </c>
    </row>
    <row r="771" spans="1:9" s="2" customFormat="1">
      <c r="A771" s="90"/>
      <c r="B771" s="91"/>
      <c r="C771" s="92"/>
      <c r="D771" s="93" t="s">
        <v>74</v>
      </c>
      <c r="E771" s="94"/>
      <c r="F771" s="95"/>
      <c r="G771" s="96" t="s">
        <v>75</v>
      </c>
      <c r="H771" s="97" t="s">
        <v>168</v>
      </c>
      <c r="I771" s="119">
        <f>SUBTOTAL(9,I767:I770)</f>
        <v>99.6</v>
      </c>
    </row>
    <row r="772" spans="1:9" s="2" customFormat="1"/>
    <row r="773" spans="1:9" s="2" customFormat="1"/>
    <row r="774" spans="1:9" s="2" customFormat="1">
      <c r="A774" s="81" t="s">
        <v>377</v>
      </c>
      <c r="B774" s="82" t="s">
        <v>378</v>
      </c>
      <c r="C774" s="83"/>
      <c r="D774" s="84"/>
      <c r="E774" s="85"/>
      <c r="F774" s="86"/>
      <c r="G774" s="87"/>
      <c r="H774" s="88"/>
      <c r="I774" s="89"/>
    </row>
    <row r="775" spans="1:9" s="2" customFormat="1"/>
    <row r="776" spans="1:9" s="2" customFormat="1"/>
    <row r="777" spans="1:9" s="2" customFormat="1">
      <c r="A777" s="81" t="s">
        <v>379</v>
      </c>
      <c r="B777" s="82" t="s">
        <v>380</v>
      </c>
      <c r="C777" s="83"/>
      <c r="D777" s="84"/>
      <c r="E777" s="85"/>
      <c r="F777" s="86"/>
      <c r="G777" s="87"/>
      <c r="H777" s="88"/>
      <c r="I777" s="89"/>
    </row>
    <row r="778" spans="1:9" s="2" customFormat="1"/>
    <row r="779" spans="1:9" s="2" customFormat="1"/>
    <row r="780" spans="1:9" s="2" customFormat="1">
      <c r="A780" s="81" t="s">
        <v>381</v>
      </c>
      <c r="B780" s="82" t="s">
        <v>340</v>
      </c>
      <c r="C780" s="83"/>
      <c r="D780" s="84"/>
      <c r="E780" s="85"/>
      <c r="F780" s="86"/>
      <c r="G780" s="87"/>
      <c r="H780" s="88"/>
      <c r="I780" s="89"/>
    </row>
    <row r="781" spans="1:9" s="2" customFormat="1">
      <c r="A781" s="90"/>
      <c r="B781" s="91"/>
      <c r="C781" s="92"/>
      <c r="D781" s="93" t="s">
        <v>74</v>
      </c>
      <c r="E781" s="94"/>
      <c r="F781" s="95"/>
      <c r="G781" s="96" t="s">
        <v>91</v>
      </c>
      <c r="H781" s="97"/>
      <c r="I781" s="98"/>
    </row>
    <row r="782" spans="1:9" s="2" customFormat="1"/>
    <row r="783" spans="1:9" s="2" customFormat="1"/>
    <row r="784" spans="1:9" s="2" customFormat="1">
      <c r="A784" s="81" t="s">
        <v>382</v>
      </c>
      <c r="B784" s="82" t="s">
        <v>383</v>
      </c>
      <c r="C784" s="83"/>
      <c r="D784" s="84"/>
      <c r="E784" s="85"/>
      <c r="F784" s="86"/>
      <c r="G784" s="87"/>
      <c r="H784" s="88"/>
      <c r="I784" s="89"/>
    </row>
    <row r="785" spans="1:9" s="2" customFormat="1"/>
    <row r="786" spans="1:9" s="2" customFormat="1"/>
    <row r="787" spans="1:9" s="2" customFormat="1">
      <c r="A787" s="81" t="s">
        <v>384</v>
      </c>
      <c r="B787" s="82" t="s">
        <v>385</v>
      </c>
      <c r="C787" s="83"/>
      <c r="D787" s="84"/>
      <c r="E787" s="85"/>
      <c r="F787" s="86"/>
      <c r="G787" s="87"/>
      <c r="H787" s="88"/>
      <c r="I787" s="89"/>
    </row>
    <row r="788" spans="1:9" s="2" customFormat="1">
      <c r="A788" s="99"/>
      <c r="B788" s="100" t="s">
        <v>70</v>
      </c>
      <c r="C788" s="101"/>
      <c r="D788" s="102" t="s">
        <v>348</v>
      </c>
      <c r="E788" s="103"/>
      <c r="F788" s="104"/>
      <c r="G788" s="105" t="s">
        <v>71</v>
      </c>
      <c r="H788" s="106"/>
      <c r="I788" s="107" t="s">
        <v>72</v>
      </c>
    </row>
    <row r="789" spans="1:9" s="2" customFormat="1">
      <c r="A789" s="108"/>
      <c r="B789" s="109"/>
      <c r="C789" s="110"/>
      <c r="D789" s="111"/>
      <c r="E789" s="112"/>
      <c r="F789" s="113"/>
      <c r="G789" s="114"/>
      <c r="H789" s="115"/>
      <c r="I789" s="116">
        <f t="shared" ref="I789:I792" si="33">ROUND(PRODUCT(ROUND(PRODUCT(D789,E789,F789),3),G789,H789),3)</f>
        <v>0</v>
      </c>
    </row>
    <row r="790" spans="1:9" s="2" customFormat="1">
      <c r="A790" s="108"/>
      <c r="B790" s="109" t="s">
        <v>428</v>
      </c>
      <c r="C790" s="110"/>
      <c r="D790" s="111">
        <v>22.9</v>
      </c>
      <c r="E790" s="112">
        <v>2.68</v>
      </c>
      <c r="F790" s="113"/>
      <c r="G790" s="114">
        <v>2</v>
      </c>
      <c r="H790" s="115"/>
      <c r="I790" s="116">
        <f t="shared" si="33"/>
        <v>122.744</v>
      </c>
    </row>
    <row r="791" spans="1:9" s="2" customFormat="1">
      <c r="A791" s="108"/>
      <c r="B791" s="109"/>
      <c r="C791" s="110"/>
      <c r="D791" s="111"/>
      <c r="E791" s="112"/>
      <c r="F791" s="113"/>
      <c r="G791" s="114"/>
      <c r="H791" s="115"/>
      <c r="I791" s="116">
        <f t="shared" si="33"/>
        <v>0</v>
      </c>
    </row>
    <row r="792" spans="1:9" s="2" customFormat="1">
      <c r="A792" s="108"/>
      <c r="B792" s="109"/>
      <c r="C792" s="110"/>
      <c r="D792" s="111"/>
      <c r="E792" s="112"/>
      <c r="F792" s="113"/>
      <c r="G792" s="114"/>
      <c r="H792" s="115"/>
      <c r="I792" s="116">
        <f t="shared" si="33"/>
        <v>0</v>
      </c>
    </row>
    <row r="793" spans="1:9" s="2" customFormat="1">
      <c r="A793" s="90"/>
      <c r="B793" s="91"/>
      <c r="C793" s="92"/>
      <c r="D793" s="93" t="s">
        <v>74</v>
      </c>
      <c r="E793" s="94"/>
      <c r="F793" s="95"/>
      <c r="G793" s="96" t="s">
        <v>75</v>
      </c>
      <c r="H793" s="97" t="s">
        <v>349</v>
      </c>
      <c r="I793" s="117">
        <f>SUBTOTAL(9,I789:I792)</f>
        <v>122.744</v>
      </c>
    </row>
    <row r="794" spans="1:9" s="2" customFormat="1"/>
    <row r="795" spans="1:9" s="2" customFormat="1"/>
    <row r="796" spans="1:9" s="2" customFormat="1"/>
  </sheetData>
  <customSheetViews>
    <customSheetView guid="{C6F4E7AD-9432-49D3-8D5A-6AE8172A821F}" scale="115" zeroValues="0" hiddenRows="1" hiddenColumns="1" topLeftCell="A245">
      <selection activeCell="B185" sqref="B185"/>
    </customSheetView>
    <customSheetView guid="{F61B4A02-03E5-44B1-8741-5B0A062D5F61}" scale="115" zeroValues="0" hiddenRows="1" hiddenColumns="1" topLeftCell="A245">
      <selection activeCell="B185" sqref="B185"/>
    </customSheetView>
  </customSheetViews>
  <phoneticPr fontId="11" type="noConversion"/>
  <pageMargins left="0.7" right="0.7" top="0.75" bottom="0.75" header="0.3" footer="0.3"/>
  <pageSetup paperSize="9" scale="54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EE3D8-8FF3-4AF6-9061-3BA7AC65E4E9}">
  <sheetPr>
    <pageSetUpPr fitToPage="1"/>
  </sheetPr>
  <dimension ref="A1:AD251"/>
  <sheetViews>
    <sheetView tabSelected="1" topLeftCell="A2" zoomScaleNormal="100" zoomScaleSheetLayoutView="100" workbookViewId="0">
      <pane xSplit="29" ySplit="8" topLeftCell="AD223" activePane="bottomRight" state="frozen"/>
      <selection activeCell="A2" sqref="A2"/>
      <selection pane="topRight" activeCell="AD2" sqref="AD2"/>
      <selection pane="bottomLeft" activeCell="A9" sqref="A9"/>
      <selection pane="bottomRight" activeCell="C10" sqref="C10:F244"/>
    </sheetView>
  </sheetViews>
  <sheetFormatPr defaultRowHeight="12.75" outlineLevelCol="2"/>
  <cols>
    <col min="1" max="1" width="6.42578125" style="51" customWidth="1"/>
    <col min="2" max="2" width="9.7109375" style="19" customWidth="1"/>
    <col min="3" max="3" width="77.7109375" style="19" bestFit="1" customWidth="1"/>
    <col min="4" max="4" width="4.5703125" style="19" bestFit="1" customWidth="1"/>
    <col min="5" max="5" width="3.7109375" style="19" bestFit="1" customWidth="1"/>
    <col min="6" max="7" width="9.7109375" style="19" customWidth="1"/>
    <col min="8" max="8" width="11.140625" style="19" customWidth="1"/>
    <col min="9" max="10" width="11.7109375" style="19" customWidth="1"/>
    <col min="11" max="12" width="10.7109375" style="19" hidden="1" customWidth="1" outlineLevel="1"/>
    <col min="13" max="17" width="10.7109375" style="19" hidden="1" customWidth="1" outlineLevel="2"/>
    <col min="18" max="18" width="10.7109375" style="19" hidden="1" customWidth="1" outlineLevel="1"/>
    <col min="19" max="23" width="10.7109375" style="19" hidden="1" customWidth="1" outlineLevel="2"/>
    <col min="24" max="24" width="10.7109375" style="19" hidden="1" customWidth="1" outlineLevel="1"/>
    <col min="25" max="27" width="10.7109375" style="19" hidden="1" customWidth="1" outlineLevel="2"/>
    <col min="28" max="28" width="9.5703125" style="19" hidden="1" customWidth="1" outlineLevel="2"/>
    <col min="29" max="29" width="10.28515625" style="19" hidden="1" customWidth="1" outlineLevel="2"/>
    <col min="30" max="30" width="9.140625" style="19" collapsed="1"/>
    <col min="31" max="16384" width="9.140625" style="19"/>
  </cols>
  <sheetData>
    <row r="1" spans="1:29" hidden="1">
      <c r="A1" s="17"/>
      <c r="B1" s="18"/>
      <c r="C1" s="18"/>
      <c r="D1" s="18"/>
      <c r="E1" s="18"/>
      <c r="F1" s="18"/>
      <c r="G1" s="18"/>
      <c r="H1" s="18"/>
      <c r="I1" s="18"/>
      <c r="J1" s="18"/>
    </row>
    <row r="2" spans="1:29" ht="15" customHeight="1">
      <c r="A2" s="17"/>
      <c r="B2" s="18"/>
      <c r="C2" s="18"/>
      <c r="D2" s="18"/>
      <c r="E2" s="18"/>
      <c r="F2" s="18"/>
      <c r="G2" s="18"/>
      <c r="H2" s="18"/>
      <c r="I2" s="18"/>
      <c r="J2" s="18"/>
    </row>
    <row r="3" spans="1:29" s="1" customFormat="1" ht="15" customHeight="1"/>
    <row r="4" spans="1:29" s="1" customFormat="1" ht="15" customHeight="1">
      <c r="A4" s="1" t="s">
        <v>3</v>
      </c>
      <c r="B4" s="14" t="s">
        <v>117</v>
      </c>
      <c r="F4" s="15"/>
    </row>
    <row r="5" spans="1:29" s="1" customFormat="1" ht="15" customHeight="1">
      <c r="A5" s="1" t="s">
        <v>0</v>
      </c>
      <c r="B5" s="15" t="str">
        <f>'Detail Onderbouw &amp; Ruwbouw'!B4</f>
        <v>Ruwbouw &amp; Onderbouw</v>
      </c>
      <c r="F5" s="15"/>
    </row>
    <row r="6" spans="1:29" s="1" customFormat="1" ht="15" customHeight="1">
      <c r="A6" s="1" t="s">
        <v>1</v>
      </c>
      <c r="B6" s="16" t="s">
        <v>118</v>
      </c>
    </row>
    <row r="7" spans="1:29" s="1" customFormat="1" ht="15" customHeight="1">
      <c r="A7" s="1" t="s">
        <v>2</v>
      </c>
      <c r="B7" s="16" t="s">
        <v>119</v>
      </c>
      <c r="I7" s="4"/>
      <c r="J7" s="4"/>
    </row>
    <row r="8" spans="1:29" s="20" customFormat="1" ht="15" customHeight="1">
      <c r="L8" s="21" t="s">
        <v>95</v>
      </c>
      <c r="M8" s="22"/>
      <c r="N8" s="22"/>
      <c r="O8" s="22"/>
      <c r="P8" s="22"/>
      <c r="Q8" s="23"/>
      <c r="R8" s="24" t="s">
        <v>96</v>
      </c>
      <c r="S8" s="24"/>
      <c r="T8" s="24"/>
      <c r="U8" s="24"/>
      <c r="V8" s="24"/>
      <c r="W8" s="25"/>
      <c r="X8" s="26" t="s">
        <v>97</v>
      </c>
      <c r="Y8" s="26"/>
      <c r="Z8" s="26"/>
      <c r="AA8" s="26"/>
      <c r="AB8" s="26"/>
      <c r="AC8" s="27"/>
    </row>
    <row r="9" spans="1:29" s="40" customFormat="1">
      <c r="A9" s="28" t="s">
        <v>98</v>
      </c>
      <c r="B9" s="29" t="s">
        <v>99</v>
      </c>
      <c r="C9" s="30" t="s">
        <v>70</v>
      </c>
      <c r="D9" s="146" t="s">
        <v>100</v>
      </c>
      <c r="E9" s="147"/>
      <c r="F9" s="29" t="s">
        <v>101</v>
      </c>
      <c r="G9" s="31" t="s">
        <v>102</v>
      </c>
      <c r="H9" s="29" t="s">
        <v>103</v>
      </c>
      <c r="I9" s="32" t="s">
        <v>72</v>
      </c>
      <c r="J9" s="29"/>
      <c r="K9" s="33" t="s">
        <v>104</v>
      </c>
      <c r="L9" s="34" t="s">
        <v>105</v>
      </c>
      <c r="M9" s="34" t="s">
        <v>106</v>
      </c>
      <c r="N9" s="34" t="s">
        <v>107</v>
      </c>
      <c r="O9" s="34" t="s">
        <v>72</v>
      </c>
      <c r="P9" s="34" t="s">
        <v>108</v>
      </c>
      <c r="Q9" s="35" t="s">
        <v>109</v>
      </c>
      <c r="R9" s="36" t="s">
        <v>105</v>
      </c>
      <c r="S9" s="36" t="s">
        <v>106</v>
      </c>
      <c r="T9" s="36" t="s">
        <v>107</v>
      </c>
      <c r="U9" s="36" t="s">
        <v>72</v>
      </c>
      <c r="V9" s="36" t="s">
        <v>108</v>
      </c>
      <c r="W9" s="37" t="s">
        <v>109</v>
      </c>
      <c r="X9" s="38" t="s">
        <v>105</v>
      </c>
      <c r="Y9" s="38" t="s">
        <v>106</v>
      </c>
      <c r="Z9" s="38" t="s">
        <v>107</v>
      </c>
      <c r="AA9" s="38" t="s">
        <v>72</v>
      </c>
      <c r="AB9" s="38" t="s">
        <v>108</v>
      </c>
      <c r="AC9" s="39" t="s">
        <v>109</v>
      </c>
    </row>
    <row r="10" spans="1:29" s="40" customFormat="1">
      <c r="A10" s="121"/>
      <c r="B10" s="41" t="s">
        <v>113</v>
      </c>
      <c r="C10" s="42"/>
      <c r="D10" s="43"/>
      <c r="E10" s="42"/>
      <c r="F10" s="42"/>
      <c r="G10" s="42"/>
      <c r="H10" s="44"/>
      <c r="I10" s="44"/>
      <c r="J10" s="45"/>
      <c r="K10" s="46"/>
      <c r="L10" s="47"/>
      <c r="M10" s="42"/>
      <c r="N10" s="48"/>
      <c r="O10" s="44">
        <f t="shared" ref="O10:O73" si="0">IF(MID($D10,3,1)="-","*********",ROUND(IF(NOT(ISNUMBER($G10)),IF(NOT(ISNUMBER($F10)),1,$F10),$G10)*(IF(NOT(ISNUMBER(N10)),L10,N10)),2))</f>
        <v>0</v>
      </c>
      <c r="P10" s="49" t="str">
        <f t="shared" ref="P10:P73" si="1">IF(O$246=0,"",O10/O$246)</f>
        <v/>
      </c>
      <c r="Q10" s="50" t="str">
        <f t="shared" ref="Q10:Q73" si="2">IF($K10=0,"",IF(NOT(ISNUMBER(N10)),L10,N10)/$K10-1)</f>
        <v/>
      </c>
      <c r="R10" s="47"/>
      <c r="S10" s="42"/>
      <c r="T10" s="48"/>
      <c r="U10" s="44">
        <f t="shared" ref="U10:U73" si="3">IF(MID($D10,3,1)="-","*********",ROUND(IF(NOT(ISNUMBER($G10)),IF(NOT(ISNUMBER($F10)),1,$F10),$G10)*(IF(NOT(ISNUMBER(T10)),R10,T10)),2))</f>
        <v>0</v>
      </c>
      <c r="V10" s="49" t="str">
        <f t="shared" ref="V10:V73" si="4">IF(U$246=0,"",U10/U$246)</f>
        <v/>
      </c>
      <c r="W10" s="50" t="str">
        <f t="shared" ref="W10:W73" si="5">IF($K10=0,"",IF(NOT(ISNUMBER(T10)),R10,T10)/$K10-1)</f>
        <v/>
      </c>
      <c r="X10" s="47"/>
      <c r="Y10" s="42"/>
      <c r="Z10" s="48"/>
      <c r="AA10" s="44">
        <f t="shared" ref="AA10:AA73" si="6">IF(MID($D10,3,1)="-","*********",ROUND(IF(NOT(ISNUMBER($G10)),IF(NOT(ISNUMBER($F10)),1,$F10),$G10)*(IF(NOT(ISNUMBER(Z10)),X10,Z10)),2))</f>
        <v>0</v>
      </c>
      <c r="AB10" s="49" t="str">
        <f t="shared" ref="AB10:AB73" si="7">IF(AA$246=0,"",AA10/AA$246)</f>
        <v/>
      </c>
      <c r="AC10" s="50" t="str">
        <f t="shared" ref="AC10:AC73" si="8">IF($K10=0,"",IF(NOT(ISNUMBER(Z10)),X10,Z10)/$K10-1)</f>
        <v/>
      </c>
    </row>
    <row r="11" spans="1:29">
      <c r="B11" s="52" t="str">
        <f>[1]!ArticleCode(Art_00.)</f>
        <v>00.</v>
      </c>
      <c r="C11" s="53" t="str">
        <f>[1]!ArticleDescription(Art_00.)</f>
        <v>ALGEMENE BEPALINGEN</v>
      </c>
      <c r="D11" s="42"/>
      <c r="E11" s="42"/>
      <c r="F11" s="42"/>
      <c r="G11" s="42"/>
      <c r="H11" s="44"/>
      <c r="I11" s="44"/>
      <c r="J11" s="45"/>
      <c r="K11" s="46"/>
      <c r="L11" s="47"/>
      <c r="M11" s="42"/>
      <c r="N11" s="48"/>
      <c r="O11" s="44">
        <f t="shared" si="0"/>
        <v>0</v>
      </c>
      <c r="P11" s="49" t="str">
        <f t="shared" si="1"/>
        <v/>
      </c>
      <c r="Q11" s="50" t="str">
        <f t="shared" si="2"/>
        <v/>
      </c>
      <c r="R11" s="47"/>
      <c r="S11" s="42"/>
      <c r="T11" s="48"/>
      <c r="U11" s="44">
        <f t="shared" si="3"/>
        <v>0</v>
      </c>
      <c r="V11" s="49" t="str">
        <f t="shared" si="4"/>
        <v/>
      </c>
      <c r="W11" s="50" t="str">
        <f t="shared" si="5"/>
        <v/>
      </c>
      <c r="X11" s="47"/>
      <c r="Y11" s="42"/>
      <c r="Z11" s="48"/>
      <c r="AA11" s="44">
        <f t="shared" si="6"/>
        <v>0</v>
      </c>
      <c r="AB11" s="49" t="str">
        <f t="shared" si="7"/>
        <v/>
      </c>
      <c r="AC11" s="50" t="str">
        <f t="shared" si="8"/>
        <v/>
      </c>
    </row>
    <row r="12" spans="1:29">
      <c r="B12" s="52" t="str">
        <f>[1]!ArticleCode(Art_00.10.)</f>
        <v>00.10.</v>
      </c>
      <c r="C12" s="53" t="str">
        <f>[1]!ArticleDescription(Art_00.10.)</f>
        <v>projectgegevens</v>
      </c>
      <c r="D12" s="42"/>
      <c r="E12" s="42"/>
      <c r="F12" s="42"/>
      <c r="G12" s="42"/>
      <c r="H12" s="44"/>
      <c r="I12" s="44"/>
      <c r="J12" s="45"/>
      <c r="K12" s="46"/>
      <c r="L12" s="47"/>
      <c r="M12" s="42"/>
      <c r="N12" s="48"/>
      <c r="O12" s="44">
        <f t="shared" si="0"/>
        <v>0</v>
      </c>
      <c r="P12" s="49" t="str">
        <f t="shared" si="1"/>
        <v/>
      </c>
      <c r="Q12" s="50" t="str">
        <f t="shared" si="2"/>
        <v/>
      </c>
      <c r="R12" s="47"/>
      <c r="S12" s="42"/>
      <c r="T12" s="48"/>
      <c r="U12" s="44">
        <f t="shared" si="3"/>
        <v>0</v>
      </c>
      <c r="V12" s="49" t="str">
        <f t="shared" si="4"/>
        <v/>
      </c>
      <c r="W12" s="50" t="str">
        <f t="shared" si="5"/>
        <v/>
      </c>
      <c r="X12" s="47"/>
      <c r="Y12" s="42"/>
      <c r="Z12" s="48"/>
      <c r="AA12" s="44">
        <f t="shared" si="6"/>
        <v>0</v>
      </c>
      <c r="AB12" s="49" t="str">
        <f t="shared" si="7"/>
        <v/>
      </c>
      <c r="AC12" s="50" t="str">
        <f t="shared" si="8"/>
        <v/>
      </c>
    </row>
    <row r="13" spans="1:29">
      <c r="B13" s="52" t="str">
        <f>[1]!ArticleCode(Art_00.20.)</f>
        <v>00.20.</v>
      </c>
      <c r="C13" s="53" t="str">
        <f>[1]!ArticleDescription(Art_00.20.)</f>
        <v>ontwerpteam</v>
      </c>
      <c r="D13" s="42"/>
      <c r="E13" s="42"/>
      <c r="F13" s="42"/>
      <c r="G13" s="42"/>
      <c r="H13" s="44"/>
      <c r="I13" s="44"/>
      <c r="J13" s="45"/>
      <c r="K13" s="46"/>
      <c r="L13" s="47"/>
      <c r="M13" s="42"/>
      <c r="N13" s="48"/>
      <c r="O13" s="44">
        <f t="shared" si="0"/>
        <v>0</v>
      </c>
      <c r="P13" s="49" t="str">
        <f t="shared" si="1"/>
        <v/>
      </c>
      <c r="Q13" s="50" t="str">
        <f t="shared" si="2"/>
        <v/>
      </c>
      <c r="R13" s="47"/>
      <c r="S13" s="42"/>
      <c r="T13" s="48"/>
      <c r="U13" s="44">
        <f t="shared" si="3"/>
        <v>0</v>
      </c>
      <c r="V13" s="49" t="str">
        <f t="shared" si="4"/>
        <v/>
      </c>
      <c r="W13" s="50" t="str">
        <f t="shared" si="5"/>
        <v/>
      </c>
      <c r="X13" s="47"/>
      <c r="Y13" s="42"/>
      <c r="Z13" s="48"/>
      <c r="AA13" s="44">
        <f t="shared" si="6"/>
        <v>0</v>
      </c>
      <c r="AB13" s="49" t="str">
        <f t="shared" si="7"/>
        <v/>
      </c>
      <c r="AC13" s="50" t="str">
        <f t="shared" si="8"/>
        <v/>
      </c>
    </row>
    <row r="14" spans="1:29">
      <c r="B14" s="52" t="str">
        <f>[1]!ArticleCode(Art_00.21.)</f>
        <v>00.21.</v>
      </c>
      <c r="C14" s="53" t="str">
        <f>[1]!ArticleDescription(Art_00.21.)</f>
        <v>ontwerper</v>
      </c>
      <c r="D14" s="42"/>
      <c r="E14" s="42"/>
      <c r="F14" s="42"/>
      <c r="G14" s="42"/>
      <c r="H14" s="44"/>
      <c r="I14" s="44"/>
      <c r="J14" s="45"/>
      <c r="K14" s="46"/>
      <c r="L14" s="47"/>
      <c r="M14" s="42"/>
      <c r="N14" s="48"/>
      <c r="O14" s="44">
        <f t="shared" si="0"/>
        <v>0</v>
      </c>
      <c r="P14" s="49" t="str">
        <f t="shared" si="1"/>
        <v/>
      </c>
      <c r="Q14" s="50" t="str">
        <f t="shared" si="2"/>
        <v/>
      </c>
      <c r="R14" s="47"/>
      <c r="S14" s="42"/>
      <c r="T14" s="48"/>
      <c r="U14" s="44">
        <f t="shared" si="3"/>
        <v>0</v>
      </c>
      <c r="V14" s="49" t="str">
        <f t="shared" si="4"/>
        <v/>
      </c>
      <c r="W14" s="50" t="str">
        <f t="shared" si="5"/>
        <v/>
      </c>
      <c r="X14" s="47"/>
      <c r="Y14" s="42"/>
      <c r="Z14" s="48"/>
      <c r="AA14" s="44">
        <f t="shared" si="6"/>
        <v>0</v>
      </c>
      <c r="AB14" s="49" t="str">
        <f t="shared" si="7"/>
        <v/>
      </c>
      <c r="AC14" s="50" t="str">
        <f t="shared" si="8"/>
        <v/>
      </c>
    </row>
    <row r="15" spans="1:29">
      <c r="B15" s="52" t="str">
        <f>[1]!ArticleCode(Art_00.24.)</f>
        <v>00.24.</v>
      </c>
      <c r="C15" s="53" t="str">
        <f>[1]!ArticleDescription(Art_00.24.)</f>
        <v>ontwerpteam - veiligheidscoördinatie</v>
      </c>
      <c r="D15" s="42"/>
      <c r="E15" s="42"/>
      <c r="F15" s="42"/>
      <c r="G15" s="42"/>
      <c r="H15" s="44"/>
      <c r="I15" s="44"/>
      <c r="J15" s="45"/>
      <c r="K15" s="46"/>
      <c r="L15" s="47"/>
      <c r="M15" s="42"/>
      <c r="N15" s="48"/>
      <c r="O15" s="44">
        <f t="shared" si="0"/>
        <v>0</v>
      </c>
      <c r="P15" s="49" t="str">
        <f t="shared" si="1"/>
        <v/>
      </c>
      <c r="Q15" s="50" t="str">
        <f t="shared" si="2"/>
        <v/>
      </c>
      <c r="R15" s="47"/>
      <c r="S15" s="42"/>
      <c r="T15" s="48"/>
      <c r="U15" s="44">
        <f t="shared" si="3"/>
        <v>0</v>
      </c>
      <c r="V15" s="49" t="str">
        <f t="shared" si="4"/>
        <v/>
      </c>
      <c r="W15" s="50" t="str">
        <f t="shared" si="5"/>
        <v/>
      </c>
      <c r="X15" s="47"/>
      <c r="Y15" s="42"/>
      <c r="Z15" s="48"/>
      <c r="AA15" s="44">
        <f t="shared" si="6"/>
        <v>0</v>
      </c>
      <c r="AB15" s="49" t="str">
        <f t="shared" si="7"/>
        <v/>
      </c>
      <c r="AC15" s="50" t="str">
        <f t="shared" si="8"/>
        <v/>
      </c>
    </row>
    <row r="16" spans="1:29">
      <c r="B16" s="52" t="str">
        <f>[1]!ArticleCode(Art_00.25.)</f>
        <v>00.25.</v>
      </c>
      <c r="C16" s="53" t="str">
        <f>[1]!ArticleDescription(Art_00.25.)</f>
        <v>ontwerpteam – EPB verslaggeving</v>
      </c>
      <c r="D16" s="42"/>
      <c r="E16" s="42"/>
      <c r="F16" s="42"/>
      <c r="G16" s="42"/>
      <c r="H16" s="44"/>
      <c r="I16" s="44"/>
      <c r="J16" s="45"/>
      <c r="K16" s="46"/>
      <c r="L16" s="47"/>
      <c r="M16" s="42"/>
      <c r="N16" s="48"/>
      <c r="O16" s="44">
        <f t="shared" si="0"/>
        <v>0</v>
      </c>
      <c r="P16" s="49" t="str">
        <f t="shared" si="1"/>
        <v/>
      </c>
      <c r="Q16" s="50" t="str">
        <f t="shared" si="2"/>
        <v/>
      </c>
      <c r="R16" s="47"/>
      <c r="S16" s="42"/>
      <c r="T16" s="48"/>
      <c r="U16" s="44">
        <f t="shared" si="3"/>
        <v>0</v>
      </c>
      <c r="V16" s="49" t="str">
        <f t="shared" si="4"/>
        <v/>
      </c>
      <c r="W16" s="50" t="str">
        <f t="shared" si="5"/>
        <v/>
      </c>
      <c r="X16" s="47"/>
      <c r="Y16" s="42"/>
      <c r="Z16" s="48"/>
      <c r="AA16" s="44">
        <f t="shared" si="6"/>
        <v>0</v>
      </c>
      <c r="AB16" s="49" t="str">
        <f t="shared" si="7"/>
        <v/>
      </c>
      <c r="AC16" s="50" t="str">
        <f t="shared" si="8"/>
        <v/>
      </c>
    </row>
    <row r="17" spans="1:29">
      <c r="B17" s="52" t="str">
        <f>[1]!ArticleCode(Art_00.30.)</f>
        <v>00.30.</v>
      </c>
      <c r="C17" s="53" t="str">
        <f>[1]!ArticleDescription(Art_00.30.)</f>
        <v>documenten</v>
      </c>
      <c r="D17" s="42"/>
      <c r="E17" s="42"/>
      <c r="F17" s="42"/>
      <c r="G17" s="42"/>
      <c r="H17" s="44"/>
      <c r="I17" s="44"/>
      <c r="J17" s="45"/>
      <c r="K17" s="46"/>
      <c r="L17" s="47"/>
      <c r="M17" s="42"/>
      <c r="N17" s="48"/>
      <c r="O17" s="44">
        <f t="shared" si="0"/>
        <v>0</v>
      </c>
      <c r="P17" s="49" t="str">
        <f t="shared" si="1"/>
        <v/>
      </c>
      <c r="Q17" s="50" t="str">
        <f t="shared" si="2"/>
        <v/>
      </c>
      <c r="R17" s="47"/>
      <c r="S17" s="42"/>
      <c r="T17" s="48"/>
      <c r="U17" s="44">
        <f t="shared" si="3"/>
        <v>0</v>
      </c>
      <c r="V17" s="49" t="str">
        <f t="shared" si="4"/>
        <v/>
      </c>
      <c r="W17" s="50" t="str">
        <f t="shared" si="5"/>
        <v/>
      </c>
      <c r="X17" s="47"/>
      <c r="Y17" s="42"/>
      <c r="Z17" s="48"/>
      <c r="AA17" s="44">
        <f t="shared" si="6"/>
        <v>0</v>
      </c>
      <c r="AB17" s="49" t="str">
        <f t="shared" si="7"/>
        <v/>
      </c>
      <c r="AC17" s="50" t="str">
        <f t="shared" si="8"/>
        <v/>
      </c>
    </row>
    <row r="18" spans="1:29">
      <c r="B18" s="52" t="str">
        <f>[1]!ArticleCode(Art_00.31.)</f>
        <v>00.31.</v>
      </c>
      <c r="C18" s="53" t="str">
        <f>[1]!ArticleDescription(Art_00.31.)</f>
        <v>documenten - architectuur</v>
      </c>
      <c r="D18" s="42"/>
      <c r="E18" s="42"/>
      <c r="F18" s="42"/>
      <c r="G18" s="42"/>
      <c r="H18" s="44"/>
      <c r="I18" s="44"/>
      <c r="J18" s="45"/>
      <c r="K18" s="46"/>
      <c r="L18" s="47"/>
      <c r="M18" s="42"/>
      <c r="N18" s="48"/>
      <c r="O18" s="44">
        <f t="shared" si="0"/>
        <v>0</v>
      </c>
      <c r="P18" s="49" t="str">
        <f t="shared" si="1"/>
        <v/>
      </c>
      <c r="Q18" s="50" t="str">
        <f t="shared" si="2"/>
        <v/>
      </c>
      <c r="R18" s="47"/>
      <c r="S18" s="42"/>
      <c r="T18" s="48"/>
      <c r="U18" s="44">
        <f t="shared" si="3"/>
        <v>0</v>
      </c>
      <c r="V18" s="49" t="str">
        <f t="shared" si="4"/>
        <v/>
      </c>
      <c r="W18" s="50" t="str">
        <f t="shared" si="5"/>
        <v/>
      </c>
      <c r="X18" s="47"/>
      <c r="Y18" s="42"/>
      <c r="Z18" s="48"/>
      <c r="AA18" s="44">
        <f t="shared" si="6"/>
        <v>0</v>
      </c>
      <c r="AB18" s="49" t="str">
        <f t="shared" si="7"/>
        <v/>
      </c>
      <c r="AC18" s="50" t="str">
        <f t="shared" si="8"/>
        <v/>
      </c>
    </row>
    <row r="19" spans="1:29">
      <c r="B19" s="52" t="str">
        <f>[1]!ArticleCode(Art_00.32.)</f>
        <v>00.32.</v>
      </c>
      <c r="C19" s="53" t="str">
        <f>[1]!ArticleDescription(Art_00.32.)</f>
        <v>documenten - stabiliteit</v>
      </c>
      <c r="D19" s="42"/>
      <c r="E19" s="42"/>
      <c r="F19" s="42"/>
      <c r="G19" s="42"/>
      <c r="H19" s="44"/>
      <c r="I19" s="44"/>
      <c r="J19" s="45"/>
      <c r="K19" s="46"/>
      <c r="L19" s="47"/>
      <c r="M19" s="42"/>
      <c r="N19" s="48"/>
      <c r="O19" s="44">
        <f t="shared" si="0"/>
        <v>0</v>
      </c>
      <c r="P19" s="49" t="str">
        <f t="shared" si="1"/>
        <v/>
      </c>
      <c r="Q19" s="50" t="str">
        <f t="shared" si="2"/>
        <v/>
      </c>
      <c r="R19" s="47"/>
      <c r="S19" s="42"/>
      <c r="T19" s="48"/>
      <c r="U19" s="44">
        <f t="shared" si="3"/>
        <v>0</v>
      </c>
      <c r="V19" s="49" t="str">
        <f t="shared" si="4"/>
        <v/>
      </c>
      <c r="W19" s="50" t="str">
        <f t="shared" si="5"/>
        <v/>
      </c>
      <c r="X19" s="47"/>
      <c r="Y19" s="42"/>
      <c r="Z19" s="48"/>
      <c r="AA19" s="44">
        <f t="shared" si="6"/>
        <v>0</v>
      </c>
      <c r="AB19" s="49" t="str">
        <f t="shared" si="7"/>
        <v/>
      </c>
      <c r="AC19" s="50" t="str">
        <f t="shared" si="8"/>
        <v/>
      </c>
    </row>
    <row r="20" spans="1:29">
      <c r="B20" s="52" t="str">
        <f>[1]!ArticleCode(Art_00.33.)</f>
        <v>00.33.</v>
      </c>
      <c r="C20" s="53" t="str">
        <f>[1]!ArticleDescription(Art_00.33.)</f>
        <v>documenten - technieken</v>
      </c>
      <c r="D20" s="42"/>
      <c r="E20" s="42"/>
      <c r="F20" s="42"/>
      <c r="G20" s="42"/>
      <c r="H20" s="44"/>
      <c r="I20" s="44"/>
      <c r="J20" s="45"/>
      <c r="K20" s="46"/>
      <c r="L20" s="47"/>
      <c r="M20" s="42"/>
      <c r="N20" s="48"/>
      <c r="O20" s="44">
        <f t="shared" si="0"/>
        <v>0</v>
      </c>
      <c r="P20" s="49" t="str">
        <f t="shared" si="1"/>
        <v/>
      </c>
      <c r="Q20" s="50" t="str">
        <f t="shared" si="2"/>
        <v/>
      </c>
      <c r="R20" s="47"/>
      <c r="S20" s="42"/>
      <c r="T20" s="48"/>
      <c r="U20" s="44">
        <f t="shared" si="3"/>
        <v>0</v>
      </c>
      <c r="V20" s="49" t="str">
        <f t="shared" si="4"/>
        <v/>
      </c>
      <c r="W20" s="50" t="str">
        <f t="shared" si="5"/>
        <v/>
      </c>
      <c r="X20" s="47"/>
      <c r="Y20" s="42"/>
      <c r="Z20" s="48"/>
      <c r="AA20" s="44">
        <f t="shared" si="6"/>
        <v>0</v>
      </c>
      <c r="AB20" s="49" t="str">
        <f t="shared" si="7"/>
        <v/>
      </c>
      <c r="AC20" s="50" t="str">
        <f t="shared" si="8"/>
        <v/>
      </c>
    </row>
    <row r="21" spans="1:29">
      <c r="B21" s="52" t="str">
        <f>[1]!ArticleCode(Art_00.34.)</f>
        <v>00.34.</v>
      </c>
      <c r="C21" s="53" t="str">
        <f>[1]!ArticleDescription(Art_00.34.)</f>
        <v>documenten - veiligheidsoördinatie</v>
      </c>
      <c r="D21" s="42"/>
      <c r="E21" s="42"/>
      <c r="F21" s="42"/>
      <c r="G21" s="42"/>
      <c r="H21" s="44"/>
      <c r="I21" s="44"/>
      <c r="J21" s="45"/>
      <c r="K21" s="46"/>
      <c r="L21" s="47"/>
      <c r="M21" s="42"/>
      <c r="N21" s="48"/>
      <c r="O21" s="44">
        <f t="shared" si="0"/>
        <v>0</v>
      </c>
      <c r="P21" s="49" t="str">
        <f t="shared" si="1"/>
        <v/>
      </c>
      <c r="Q21" s="50" t="str">
        <f t="shared" si="2"/>
        <v/>
      </c>
      <c r="R21" s="47"/>
      <c r="S21" s="42"/>
      <c r="T21" s="48"/>
      <c r="U21" s="44">
        <f t="shared" si="3"/>
        <v>0</v>
      </c>
      <c r="V21" s="49" t="str">
        <f t="shared" si="4"/>
        <v/>
      </c>
      <c r="W21" s="50" t="str">
        <f t="shared" si="5"/>
        <v/>
      </c>
      <c r="X21" s="47"/>
      <c r="Y21" s="42"/>
      <c r="Z21" s="48"/>
      <c r="AA21" s="44">
        <f t="shared" si="6"/>
        <v>0</v>
      </c>
      <c r="AB21" s="49" t="str">
        <f t="shared" si="7"/>
        <v/>
      </c>
      <c r="AC21" s="50" t="str">
        <f t="shared" si="8"/>
        <v/>
      </c>
    </row>
    <row r="22" spans="1:29">
      <c r="B22" s="52" t="str">
        <f>[1]!ArticleCode(Art_00.35.)</f>
        <v>00.35.</v>
      </c>
      <c r="C22" s="53" t="str">
        <f>[1]!ArticleDescription(Art_00.35.)</f>
        <v>documenten – EPB verslaggeving</v>
      </c>
      <c r="D22" s="42"/>
      <c r="E22" s="42"/>
      <c r="F22" s="42"/>
      <c r="G22" s="42"/>
      <c r="H22" s="44"/>
      <c r="I22" s="44"/>
      <c r="J22" s="45"/>
      <c r="K22" s="46"/>
      <c r="L22" s="47"/>
      <c r="M22" s="42"/>
      <c r="N22" s="48"/>
      <c r="O22" s="44">
        <f t="shared" si="0"/>
        <v>0</v>
      </c>
      <c r="P22" s="49" t="str">
        <f t="shared" si="1"/>
        <v/>
      </c>
      <c r="Q22" s="50" t="str">
        <f t="shared" si="2"/>
        <v/>
      </c>
      <c r="R22" s="47"/>
      <c r="S22" s="42"/>
      <c r="T22" s="48"/>
      <c r="U22" s="44">
        <f t="shared" si="3"/>
        <v>0</v>
      </c>
      <c r="V22" s="49" t="str">
        <f t="shared" si="4"/>
        <v/>
      </c>
      <c r="W22" s="50" t="str">
        <f t="shared" si="5"/>
        <v/>
      </c>
      <c r="X22" s="47"/>
      <c r="Y22" s="42"/>
      <c r="Z22" s="48"/>
      <c r="AA22" s="44">
        <f t="shared" si="6"/>
        <v>0</v>
      </c>
      <c r="AB22" s="49" t="str">
        <f t="shared" si="7"/>
        <v/>
      </c>
      <c r="AC22" s="50" t="str">
        <f t="shared" si="8"/>
        <v/>
      </c>
    </row>
    <row r="23" spans="1:29">
      <c r="B23" s="54"/>
      <c r="C23" s="55"/>
      <c r="D23" s="56"/>
      <c r="E23" s="55"/>
      <c r="F23" s="55"/>
      <c r="G23" s="55"/>
      <c r="H23" s="57"/>
      <c r="I23" s="57"/>
      <c r="J23" s="58">
        <f>SUBTOTAL(9,I11:I22)</f>
        <v>0</v>
      </c>
      <c r="K23" s="46"/>
      <c r="L23" s="47"/>
      <c r="M23" s="42"/>
      <c r="N23" s="48"/>
      <c r="O23" s="44">
        <f t="shared" si="0"/>
        <v>0</v>
      </c>
      <c r="P23" s="49" t="str">
        <f t="shared" si="1"/>
        <v/>
      </c>
      <c r="Q23" s="50" t="str">
        <f t="shared" si="2"/>
        <v/>
      </c>
      <c r="R23" s="47"/>
      <c r="S23" s="42"/>
      <c r="T23" s="48"/>
      <c r="U23" s="44">
        <f t="shared" si="3"/>
        <v>0</v>
      </c>
      <c r="V23" s="49" t="str">
        <f t="shared" si="4"/>
        <v/>
      </c>
      <c r="W23" s="50" t="str">
        <f t="shared" si="5"/>
        <v/>
      </c>
      <c r="X23" s="47"/>
      <c r="Y23" s="42"/>
      <c r="Z23" s="48"/>
      <c r="AA23" s="44">
        <f t="shared" si="6"/>
        <v>0</v>
      </c>
      <c r="AB23" s="49" t="str">
        <f t="shared" si="7"/>
        <v/>
      </c>
      <c r="AC23" s="50" t="str">
        <f t="shared" si="8"/>
        <v/>
      </c>
    </row>
    <row r="24" spans="1:29">
      <c r="B24" s="59"/>
      <c r="C24" s="42"/>
      <c r="D24" s="42"/>
      <c r="E24" s="42"/>
      <c r="F24" s="42"/>
      <c r="G24" s="42"/>
      <c r="H24" s="44"/>
      <c r="I24" s="44"/>
      <c r="J24" s="45"/>
      <c r="K24" s="46"/>
      <c r="L24" s="47"/>
      <c r="M24" s="42"/>
      <c r="N24" s="48"/>
      <c r="O24" s="44">
        <f t="shared" si="0"/>
        <v>0</v>
      </c>
      <c r="P24" s="49" t="str">
        <f t="shared" si="1"/>
        <v/>
      </c>
      <c r="Q24" s="50" t="str">
        <f t="shared" si="2"/>
        <v/>
      </c>
      <c r="R24" s="47"/>
      <c r="S24" s="42"/>
      <c r="T24" s="48"/>
      <c r="U24" s="44">
        <f t="shared" si="3"/>
        <v>0</v>
      </c>
      <c r="V24" s="49" t="str">
        <f t="shared" si="4"/>
        <v/>
      </c>
      <c r="W24" s="50" t="str">
        <f t="shared" si="5"/>
        <v/>
      </c>
      <c r="X24" s="47"/>
      <c r="Y24" s="42"/>
      <c r="Z24" s="48"/>
      <c r="AA24" s="44">
        <f t="shared" si="6"/>
        <v>0</v>
      </c>
      <c r="AB24" s="49" t="str">
        <f t="shared" si="7"/>
        <v/>
      </c>
      <c r="AC24" s="50" t="str">
        <f t="shared" si="8"/>
        <v/>
      </c>
    </row>
    <row r="25" spans="1:29">
      <c r="B25" s="41" t="s">
        <v>114</v>
      </c>
      <c r="C25" s="42"/>
      <c r="D25" s="43"/>
      <c r="E25" s="42"/>
      <c r="F25" s="42"/>
      <c r="G25" s="42"/>
      <c r="H25" s="44"/>
      <c r="I25" s="44"/>
      <c r="J25" s="45"/>
      <c r="K25" s="46"/>
      <c r="L25" s="47"/>
      <c r="M25" s="42"/>
      <c r="N25" s="48"/>
      <c r="O25" s="44">
        <f t="shared" si="0"/>
        <v>0</v>
      </c>
      <c r="P25" s="49" t="str">
        <f t="shared" si="1"/>
        <v/>
      </c>
      <c r="Q25" s="50" t="str">
        <f t="shared" si="2"/>
        <v/>
      </c>
      <c r="R25" s="47"/>
      <c r="S25" s="42"/>
      <c r="T25" s="48"/>
      <c r="U25" s="44">
        <f t="shared" si="3"/>
        <v>0</v>
      </c>
      <c r="V25" s="49" t="str">
        <f t="shared" si="4"/>
        <v/>
      </c>
      <c r="W25" s="50" t="str">
        <f t="shared" si="5"/>
        <v/>
      </c>
      <c r="X25" s="47"/>
      <c r="Y25" s="42"/>
      <c r="Z25" s="48"/>
      <c r="AA25" s="44">
        <f t="shared" si="6"/>
        <v>0</v>
      </c>
      <c r="AB25" s="49" t="str">
        <f t="shared" si="7"/>
        <v/>
      </c>
      <c r="AC25" s="50" t="str">
        <f t="shared" si="8"/>
        <v/>
      </c>
    </row>
    <row r="26" spans="1:29">
      <c r="B26" s="52" t="str">
        <f>[1]!ArticleCode(Art_01.)</f>
        <v>01.</v>
      </c>
      <c r="C26" s="53" t="str">
        <f>[1]!ArticleDescription(Art_01.)</f>
        <v>AANNEMINGSMODALITEITEN</v>
      </c>
      <c r="D26" s="42"/>
      <c r="E26" s="42"/>
      <c r="F26" s="42"/>
      <c r="G26" s="42"/>
      <c r="H26" s="44"/>
      <c r="I26" s="44"/>
      <c r="J26" s="45"/>
      <c r="K26" s="46"/>
      <c r="L26" s="47"/>
      <c r="M26" s="42"/>
      <c r="N26" s="48"/>
      <c r="O26" s="44">
        <f t="shared" si="0"/>
        <v>0</v>
      </c>
      <c r="P26" s="49" t="str">
        <f t="shared" si="1"/>
        <v/>
      </c>
      <c r="Q26" s="50" t="str">
        <f t="shared" si="2"/>
        <v/>
      </c>
      <c r="R26" s="47"/>
      <c r="S26" s="42"/>
      <c r="T26" s="48"/>
      <c r="U26" s="44">
        <f t="shared" si="3"/>
        <v>0</v>
      </c>
      <c r="V26" s="49" t="str">
        <f t="shared" si="4"/>
        <v/>
      </c>
      <c r="W26" s="50" t="str">
        <f t="shared" si="5"/>
        <v/>
      </c>
      <c r="X26" s="47"/>
      <c r="Y26" s="42"/>
      <c r="Z26" s="48"/>
      <c r="AA26" s="44">
        <f t="shared" si="6"/>
        <v>0</v>
      </c>
      <c r="AB26" s="49" t="str">
        <f t="shared" si="7"/>
        <v/>
      </c>
      <c r="AC26" s="50" t="str">
        <f t="shared" si="8"/>
        <v/>
      </c>
    </row>
    <row r="27" spans="1:29">
      <c r="B27" s="52" t="str">
        <f>[1]!ArticleCode(Art_01.00.)</f>
        <v>01.00.</v>
      </c>
      <c r="C27" s="53" t="str">
        <f>[1]!ArticleDescription(Art_01.00.)</f>
        <v>aannemingsmodaliteiten - algemeen</v>
      </c>
      <c r="D27" s="42"/>
      <c r="E27" s="42"/>
      <c r="F27" s="42"/>
      <c r="G27" s="42"/>
      <c r="H27" s="44"/>
      <c r="I27" s="44"/>
      <c r="J27" s="45"/>
      <c r="K27" s="46"/>
      <c r="L27" s="47"/>
      <c r="M27" s="42"/>
      <c r="N27" s="48"/>
      <c r="O27" s="44">
        <f t="shared" si="0"/>
        <v>0</v>
      </c>
      <c r="P27" s="49" t="str">
        <f t="shared" si="1"/>
        <v/>
      </c>
      <c r="Q27" s="50" t="str">
        <f t="shared" si="2"/>
        <v/>
      </c>
      <c r="R27" s="47"/>
      <c r="S27" s="42"/>
      <c r="T27" s="48"/>
      <c r="U27" s="44">
        <f t="shared" si="3"/>
        <v>0</v>
      </c>
      <c r="V27" s="49" t="str">
        <f t="shared" si="4"/>
        <v/>
      </c>
      <c r="W27" s="50" t="str">
        <f t="shared" si="5"/>
        <v/>
      </c>
      <c r="X27" s="47"/>
      <c r="Y27" s="42"/>
      <c r="Z27" s="48"/>
      <c r="AA27" s="44">
        <f t="shared" si="6"/>
        <v>0</v>
      </c>
      <c r="AB27" s="49" t="str">
        <f t="shared" si="7"/>
        <v/>
      </c>
      <c r="AC27" s="50" t="str">
        <f t="shared" si="8"/>
        <v/>
      </c>
    </row>
    <row r="28" spans="1:29">
      <c r="A28" s="51">
        <v>1</v>
      </c>
      <c r="B28" s="52" t="str">
        <f>[1]!ArticleCode(Art_01.01.)</f>
        <v>01.01.</v>
      </c>
      <c r="C28" s="53" t="str">
        <f>[1]!ArticleDescription(Art_01.01.)</f>
        <v xml:space="preserve">aannemingsmodaliteiten – bestek </v>
      </c>
      <c r="D28" s="42" t="str">
        <f>[1]!ArticleMeasureType(Art_01.01.)</f>
        <v/>
      </c>
      <c r="E28" s="42" t="str">
        <f>[1]!ArticleMeasureUnit(Art_01.01.)</f>
        <v>PM</v>
      </c>
      <c r="F28" s="60" t="str">
        <f>[1]!ArticleQuantity(Art_01.01.)</f>
        <v/>
      </c>
      <c r="G28" s="42"/>
      <c r="H28" s="44"/>
      <c r="I28" s="44">
        <f t="shared" ref="I28:I35" si="9">IF(RIGHT($D28,1)="-","************",ROUND(IF(NOT(ISNUMBER(G28)),IF(NOT(ISNUMBER(F28)),1,F28),G28)*H28,2))</f>
        <v>0</v>
      </c>
      <c r="J28" s="45"/>
      <c r="K28" s="46"/>
      <c r="L28" s="47"/>
      <c r="M28" s="42"/>
      <c r="N28" s="48"/>
      <c r="O28" s="44">
        <f t="shared" si="0"/>
        <v>0</v>
      </c>
      <c r="P28" s="49" t="str">
        <f t="shared" si="1"/>
        <v/>
      </c>
      <c r="Q28" s="50" t="str">
        <f t="shared" si="2"/>
        <v/>
      </c>
      <c r="R28" s="47"/>
      <c r="S28" s="42"/>
      <c r="T28" s="48"/>
      <c r="U28" s="44">
        <f t="shared" si="3"/>
        <v>0</v>
      </c>
      <c r="V28" s="49" t="str">
        <f t="shared" si="4"/>
        <v/>
      </c>
      <c r="W28" s="50" t="str">
        <f t="shared" si="5"/>
        <v/>
      </c>
      <c r="X28" s="47"/>
      <c r="Y28" s="42"/>
      <c r="Z28" s="48"/>
      <c r="AA28" s="44">
        <f t="shared" si="6"/>
        <v>0</v>
      </c>
      <c r="AB28" s="49" t="str">
        <f t="shared" si="7"/>
        <v/>
      </c>
      <c r="AC28" s="50" t="str">
        <f t="shared" si="8"/>
        <v/>
      </c>
    </row>
    <row r="29" spans="1:29">
      <c r="A29" s="51">
        <f t="shared" ref="A29:A35" si="10">A28+1</f>
        <v>2</v>
      </c>
      <c r="B29" s="52" t="str">
        <f>[1]!ArticleCode(Art_01.02.)</f>
        <v>01.02.</v>
      </c>
      <c r="C29" s="53" t="str">
        <f>[1]!ArticleDescription(Art_01.02.)</f>
        <v xml:space="preserve">aannemingsmodaliteiten – voorafgaand plaatsbezoek </v>
      </c>
      <c r="D29" s="42" t="str">
        <f>[1]!ArticleMeasureType(Art_01.02.)</f>
        <v/>
      </c>
      <c r="E29" s="42" t="str">
        <f>[1]!ArticleMeasureUnit(Art_01.02.)</f>
        <v>PM</v>
      </c>
      <c r="F29" s="60" t="str">
        <f>[1]!ArticleQuantity(Art_01.02.)</f>
        <v/>
      </c>
      <c r="G29" s="42"/>
      <c r="H29" s="44"/>
      <c r="I29" s="44">
        <f t="shared" si="9"/>
        <v>0</v>
      </c>
      <c r="J29" s="45"/>
      <c r="K29" s="46"/>
      <c r="L29" s="47"/>
      <c r="M29" s="42"/>
      <c r="N29" s="48"/>
      <c r="O29" s="44">
        <f t="shared" si="0"/>
        <v>0</v>
      </c>
      <c r="P29" s="49" t="str">
        <f t="shared" si="1"/>
        <v/>
      </c>
      <c r="Q29" s="50" t="str">
        <f t="shared" si="2"/>
        <v/>
      </c>
      <c r="R29" s="47"/>
      <c r="S29" s="42"/>
      <c r="T29" s="48"/>
      <c r="U29" s="44">
        <f t="shared" si="3"/>
        <v>0</v>
      </c>
      <c r="V29" s="49" t="str">
        <f t="shared" si="4"/>
        <v/>
      </c>
      <c r="W29" s="50" t="str">
        <f t="shared" si="5"/>
        <v/>
      </c>
      <c r="X29" s="47"/>
      <c r="Y29" s="42"/>
      <c r="Z29" s="48"/>
      <c r="AA29" s="44">
        <f t="shared" si="6"/>
        <v>0</v>
      </c>
      <c r="AB29" s="49" t="str">
        <f t="shared" si="7"/>
        <v/>
      </c>
      <c r="AC29" s="50" t="str">
        <f t="shared" si="8"/>
        <v/>
      </c>
    </row>
    <row r="30" spans="1:29">
      <c r="A30" s="51">
        <f t="shared" si="10"/>
        <v>3</v>
      </c>
      <c r="B30" s="52" t="str">
        <f>[1]!ArticleCode(Art_01.03.)</f>
        <v>01.03.</v>
      </c>
      <c r="C30" s="53" t="str">
        <f>[1]!ArticleDescription(Art_01.03.)</f>
        <v xml:space="preserve">aannemingsmodaliteiten – burgerlijke aansprakelijkheid </v>
      </c>
      <c r="D30" s="42" t="str">
        <f>[1]!ArticleMeasureType(Art_01.03.)</f>
        <v/>
      </c>
      <c r="E30" s="42" t="str">
        <f>[1]!ArticleMeasureUnit(Art_01.03.)</f>
        <v>PM</v>
      </c>
      <c r="F30" s="60" t="str">
        <f>[1]!ArticleQuantity(Art_01.03.)</f>
        <v/>
      </c>
      <c r="G30" s="42"/>
      <c r="H30" s="44"/>
      <c r="I30" s="44">
        <f t="shared" si="9"/>
        <v>0</v>
      </c>
      <c r="J30" s="45"/>
      <c r="K30" s="46"/>
      <c r="L30" s="47"/>
      <c r="M30" s="42"/>
      <c r="N30" s="48"/>
      <c r="O30" s="44">
        <f t="shared" si="0"/>
        <v>0</v>
      </c>
      <c r="P30" s="49" t="str">
        <f t="shared" si="1"/>
        <v/>
      </c>
      <c r="Q30" s="50" t="str">
        <f t="shared" si="2"/>
        <v/>
      </c>
      <c r="R30" s="47"/>
      <c r="S30" s="42"/>
      <c r="T30" s="48"/>
      <c r="U30" s="44">
        <f t="shared" si="3"/>
        <v>0</v>
      </c>
      <c r="V30" s="49" t="str">
        <f t="shared" si="4"/>
        <v/>
      </c>
      <c r="W30" s="50" t="str">
        <f t="shared" si="5"/>
        <v/>
      </c>
      <c r="X30" s="47"/>
      <c r="Y30" s="42"/>
      <c r="Z30" s="48"/>
      <c r="AA30" s="44">
        <f t="shared" si="6"/>
        <v>0</v>
      </c>
      <c r="AB30" s="49" t="str">
        <f t="shared" si="7"/>
        <v/>
      </c>
      <c r="AC30" s="50" t="str">
        <f t="shared" si="8"/>
        <v/>
      </c>
    </row>
    <row r="31" spans="1:29">
      <c r="A31" s="51">
        <f t="shared" si="10"/>
        <v>4</v>
      </c>
      <c r="B31" s="52" t="str">
        <f>[1]!ArticleCode(Art_01.04.)</f>
        <v>01.04.</v>
      </c>
      <c r="C31" s="53" t="str">
        <f>[1]!ArticleDescription(Art_01.04.)</f>
        <v xml:space="preserve">aannemingsmodaliteiten – volledigheid van inschrijving </v>
      </c>
      <c r="D31" s="42" t="str">
        <f>[1]!ArticleMeasureType(Art_01.04.)</f>
        <v/>
      </c>
      <c r="E31" s="42" t="str">
        <f>[1]!ArticleMeasureUnit(Art_01.04.)</f>
        <v>PM</v>
      </c>
      <c r="F31" s="60" t="str">
        <f>[1]!ArticleQuantity(Art_01.04.)</f>
        <v/>
      </c>
      <c r="G31" s="42"/>
      <c r="H31" s="44"/>
      <c r="I31" s="44">
        <f t="shared" si="9"/>
        <v>0</v>
      </c>
      <c r="J31" s="45"/>
      <c r="K31" s="46"/>
      <c r="L31" s="47"/>
      <c r="M31" s="42"/>
      <c r="N31" s="48"/>
      <c r="O31" s="44">
        <f t="shared" si="0"/>
        <v>0</v>
      </c>
      <c r="P31" s="49" t="str">
        <f t="shared" si="1"/>
        <v/>
      </c>
      <c r="Q31" s="50" t="str">
        <f t="shared" si="2"/>
        <v/>
      </c>
      <c r="R31" s="47"/>
      <c r="S31" s="42"/>
      <c r="T31" s="48"/>
      <c r="U31" s="44">
        <f t="shared" si="3"/>
        <v>0</v>
      </c>
      <c r="V31" s="49" t="str">
        <f t="shared" si="4"/>
        <v/>
      </c>
      <c r="W31" s="50" t="str">
        <f t="shared" si="5"/>
        <v/>
      </c>
      <c r="X31" s="47"/>
      <c r="Y31" s="42"/>
      <c r="Z31" s="48"/>
      <c r="AA31" s="44">
        <f t="shared" si="6"/>
        <v>0</v>
      </c>
      <c r="AB31" s="49" t="str">
        <f t="shared" si="7"/>
        <v/>
      </c>
      <c r="AC31" s="50" t="str">
        <f t="shared" si="8"/>
        <v/>
      </c>
    </row>
    <row r="32" spans="1:29">
      <c r="A32" s="51">
        <f t="shared" si="10"/>
        <v>5</v>
      </c>
      <c r="B32" s="52" t="str">
        <f>[1]!ArticleCode(Art_01.05.)</f>
        <v>01.05.</v>
      </c>
      <c r="C32" s="53" t="str">
        <f>[1]!ArticleDescription(Art_01.05.)</f>
        <v xml:space="preserve">aannemingsmodaliteiten – onderaanneming </v>
      </c>
      <c r="D32" s="42" t="str">
        <f>[1]!ArticleMeasureType(Art_01.05.)</f>
        <v/>
      </c>
      <c r="E32" s="42" t="str">
        <f>[1]!ArticleMeasureUnit(Art_01.05.)</f>
        <v>PM</v>
      </c>
      <c r="F32" s="60" t="str">
        <f>[1]!ArticleQuantity(Art_01.05.)</f>
        <v/>
      </c>
      <c r="G32" s="42"/>
      <c r="H32" s="44"/>
      <c r="I32" s="44">
        <f t="shared" si="9"/>
        <v>0</v>
      </c>
      <c r="J32" s="45"/>
      <c r="K32" s="46"/>
      <c r="L32" s="47"/>
      <c r="M32" s="42"/>
      <c r="N32" s="48"/>
      <c r="O32" s="44">
        <f t="shared" si="0"/>
        <v>0</v>
      </c>
      <c r="P32" s="49" t="str">
        <f t="shared" si="1"/>
        <v/>
      </c>
      <c r="Q32" s="50" t="str">
        <f t="shared" si="2"/>
        <v/>
      </c>
      <c r="R32" s="47"/>
      <c r="S32" s="42"/>
      <c r="T32" s="48"/>
      <c r="U32" s="44">
        <f t="shared" si="3"/>
        <v>0</v>
      </c>
      <c r="V32" s="49" t="str">
        <f t="shared" si="4"/>
        <v/>
      </c>
      <c r="W32" s="50" t="str">
        <f t="shared" si="5"/>
        <v/>
      </c>
      <c r="X32" s="47"/>
      <c r="Y32" s="42"/>
      <c r="Z32" s="48"/>
      <c r="AA32" s="44">
        <f t="shared" si="6"/>
        <v>0</v>
      </c>
      <c r="AB32" s="49" t="str">
        <f t="shared" si="7"/>
        <v/>
      </c>
      <c r="AC32" s="50" t="str">
        <f t="shared" si="8"/>
        <v/>
      </c>
    </row>
    <row r="33" spans="1:29">
      <c r="A33" s="51">
        <f t="shared" si="10"/>
        <v>6</v>
      </c>
      <c r="B33" s="52" t="str">
        <f>[1]!ArticleCode(Art_01.06.)</f>
        <v>01.06.</v>
      </c>
      <c r="C33" s="53" t="str">
        <f>[1]!ArticleDescription(Art_01.06.)</f>
        <v xml:space="preserve">aannemingsmodaliteiten – verrekeningen </v>
      </c>
      <c r="D33" s="42" t="str">
        <f>[1]!ArticleMeasureType(Art_01.06.)</f>
        <v/>
      </c>
      <c r="E33" s="42" t="str">
        <f>[1]!ArticleMeasureUnit(Art_01.06.)</f>
        <v>PM</v>
      </c>
      <c r="F33" s="60" t="str">
        <f>[1]!ArticleQuantity(Art_01.06.)</f>
        <v/>
      </c>
      <c r="G33" s="42"/>
      <c r="H33" s="44"/>
      <c r="I33" s="44">
        <f t="shared" si="9"/>
        <v>0</v>
      </c>
      <c r="J33" s="45"/>
      <c r="K33" s="46"/>
      <c r="L33" s="47"/>
      <c r="M33" s="42"/>
      <c r="N33" s="48"/>
      <c r="O33" s="44">
        <f t="shared" si="0"/>
        <v>0</v>
      </c>
      <c r="P33" s="49" t="str">
        <f t="shared" si="1"/>
        <v/>
      </c>
      <c r="Q33" s="50" t="str">
        <f t="shared" si="2"/>
        <v/>
      </c>
      <c r="R33" s="47"/>
      <c r="S33" s="42"/>
      <c r="T33" s="48"/>
      <c r="U33" s="44">
        <f t="shared" si="3"/>
        <v>0</v>
      </c>
      <c r="V33" s="49" t="str">
        <f t="shared" si="4"/>
        <v/>
      </c>
      <c r="W33" s="50" t="str">
        <f t="shared" si="5"/>
        <v/>
      </c>
      <c r="X33" s="47"/>
      <c r="Y33" s="42"/>
      <c r="Z33" s="48"/>
      <c r="AA33" s="44">
        <f t="shared" si="6"/>
        <v>0</v>
      </c>
      <c r="AB33" s="49" t="str">
        <f t="shared" si="7"/>
        <v/>
      </c>
      <c r="AC33" s="50" t="str">
        <f t="shared" si="8"/>
        <v/>
      </c>
    </row>
    <row r="34" spans="1:29">
      <c r="A34" s="51">
        <f t="shared" si="10"/>
        <v>7</v>
      </c>
      <c r="B34" s="52" t="str">
        <f>[1]!ArticleCode(Art_01.07.)</f>
        <v>01.07.</v>
      </c>
      <c r="C34" s="53" t="str">
        <f>[1]!ArticleDescription(Art_01.07.)</f>
        <v xml:space="preserve">aannemingsmodaliteiten – keuringsattesten </v>
      </c>
      <c r="D34" s="42" t="str">
        <f>[1]!ArticleMeasureType(Art_01.07.)</f>
        <v/>
      </c>
      <c r="E34" s="42" t="str">
        <f>[1]!ArticleMeasureUnit(Art_01.07.)</f>
        <v>PM</v>
      </c>
      <c r="F34" s="60" t="str">
        <f>[1]!ArticleQuantity(Art_01.07.)</f>
        <v/>
      </c>
      <c r="G34" s="42"/>
      <c r="H34" s="44"/>
      <c r="I34" s="44">
        <f t="shared" si="9"/>
        <v>0</v>
      </c>
      <c r="J34" s="45"/>
      <c r="K34" s="46"/>
      <c r="L34" s="47"/>
      <c r="M34" s="42"/>
      <c r="N34" s="48"/>
      <c r="O34" s="44">
        <f t="shared" si="0"/>
        <v>0</v>
      </c>
      <c r="P34" s="49" t="str">
        <f t="shared" si="1"/>
        <v/>
      </c>
      <c r="Q34" s="50" t="str">
        <f t="shared" si="2"/>
        <v/>
      </c>
      <c r="R34" s="47"/>
      <c r="S34" s="42"/>
      <c r="T34" s="48"/>
      <c r="U34" s="44">
        <f t="shared" si="3"/>
        <v>0</v>
      </c>
      <c r="V34" s="49" t="str">
        <f t="shared" si="4"/>
        <v/>
      </c>
      <c r="W34" s="50" t="str">
        <f t="shared" si="5"/>
        <v/>
      </c>
      <c r="X34" s="47"/>
      <c r="Y34" s="42"/>
      <c r="Z34" s="48"/>
      <c r="AA34" s="44">
        <f t="shared" si="6"/>
        <v>0</v>
      </c>
      <c r="AB34" s="49" t="str">
        <f t="shared" si="7"/>
        <v/>
      </c>
      <c r="AC34" s="50" t="str">
        <f t="shared" si="8"/>
        <v/>
      </c>
    </row>
    <row r="35" spans="1:29">
      <c r="A35" s="51">
        <f t="shared" si="10"/>
        <v>8</v>
      </c>
      <c r="B35" s="52" t="str">
        <f>[1]!ArticleCode(Art_01.08.)</f>
        <v>01.08.</v>
      </c>
      <c r="C35" s="53" t="str">
        <f>[1]!ArticleDescription(Art_01.08.)</f>
        <v xml:space="preserve">aannemingsmodaliteiten – materialenlijst </v>
      </c>
      <c r="D35" s="42" t="str">
        <f>[1]!ArticleMeasureType(Art_01.08.)</f>
        <v/>
      </c>
      <c r="E35" s="42" t="str">
        <f>[1]!ArticleMeasureUnit(Art_01.08.)</f>
        <v>PM</v>
      </c>
      <c r="F35" s="60" t="str">
        <f>[1]!ArticleQuantity(Art_01.08.)</f>
        <v/>
      </c>
      <c r="G35" s="42"/>
      <c r="H35" s="44"/>
      <c r="I35" s="44">
        <f t="shared" si="9"/>
        <v>0</v>
      </c>
      <c r="J35" s="45"/>
      <c r="K35" s="46"/>
      <c r="L35" s="47"/>
      <c r="M35" s="42"/>
      <c r="N35" s="48"/>
      <c r="O35" s="44">
        <f t="shared" si="0"/>
        <v>0</v>
      </c>
      <c r="P35" s="49" t="str">
        <f t="shared" si="1"/>
        <v/>
      </c>
      <c r="Q35" s="50" t="str">
        <f t="shared" si="2"/>
        <v/>
      </c>
      <c r="R35" s="47"/>
      <c r="S35" s="42"/>
      <c r="T35" s="48"/>
      <c r="U35" s="44">
        <f t="shared" si="3"/>
        <v>0</v>
      </c>
      <c r="V35" s="49" t="str">
        <f t="shared" si="4"/>
        <v/>
      </c>
      <c r="W35" s="50" t="str">
        <f t="shared" si="5"/>
        <v/>
      </c>
      <c r="X35" s="47"/>
      <c r="Y35" s="42"/>
      <c r="Z35" s="48"/>
      <c r="AA35" s="44">
        <f t="shared" si="6"/>
        <v>0</v>
      </c>
      <c r="AB35" s="49" t="str">
        <f t="shared" si="7"/>
        <v/>
      </c>
      <c r="AC35" s="50" t="str">
        <f t="shared" si="8"/>
        <v/>
      </c>
    </row>
    <row r="36" spans="1:29">
      <c r="B36" s="52" t="str">
        <f>[1]!ArticleCode(Art_01.20.)</f>
        <v>01.20.</v>
      </c>
      <c r="C36" s="53" t="str">
        <f>[1]!ArticleDescription(Art_01.20.)</f>
        <v>werfcoördinatie – algemeen</v>
      </c>
      <c r="D36" s="42"/>
      <c r="E36" s="42"/>
      <c r="F36" s="42"/>
      <c r="G36" s="42"/>
      <c r="H36" s="44"/>
      <c r="I36" s="44"/>
      <c r="J36" s="45"/>
      <c r="K36" s="46"/>
      <c r="L36" s="47"/>
      <c r="M36" s="42"/>
      <c r="N36" s="48"/>
      <c r="O36" s="44">
        <f t="shared" si="0"/>
        <v>0</v>
      </c>
      <c r="P36" s="49" t="str">
        <f t="shared" si="1"/>
        <v/>
      </c>
      <c r="Q36" s="50" t="str">
        <f t="shared" si="2"/>
        <v/>
      </c>
      <c r="R36" s="47"/>
      <c r="S36" s="42"/>
      <c r="T36" s="48"/>
      <c r="U36" s="44">
        <f t="shared" si="3"/>
        <v>0</v>
      </c>
      <c r="V36" s="49" t="str">
        <f t="shared" si="4"/>
        <v/>
      </c>
      <c r="W36" s="50" t="str">
        <f t="shared" si="5"/>
        <v/>
      </c>
      <c r="X36" s="47"/>
      <c r="Y36" s="42"/>
      <c r="Z36" s="48"/>
      <c r="AA36" s="44">
        <f t="shared" si="6"/>
        <v>0</v>
      </c>
      <c r="AB36" s="49" t="str">
        <f t="shared" si="7"/>
        <v/>
      </c>
      <c r="AC36" s="50" t="str">
        <f t="shared" si="8"/>
        <v/>
      </c>
    </row>
    <row r="37" spans="1:29">
      <c r="A37" s="51">
        <f>A35+1</f>
        <v>9</v>
      </c>
      <c r="B37" s="52" t="str">
        <f>[1]!ArticleCode(Art_01.21.)</f>
        <v>01.21.</v>
      </c>
      <c r="C37" s="53" t="str">
        <f>[1]!ArticleDescription(Art_01.21.)</f>
        <v xml:space="preserve">werfcoördinatie – planning van de werken </v>
      </c>
      <c r="D37" s="42" t="str">
        <f>[1]!ArticleMeasureType(Art_01.21.)</f>
        <v/>
      </c>
      <c r="E37" s="42" t="str">
        <f>[1]!ArticleMeasureUnit(Art_01.21.)</f>
        <v>PM</v>
      </c>
      <c r="F37" s="60" t="str">
        <f>[1]!ArticleQuantity(Art_01.21.)</f>
        <v/>
      </c>
      <c r="G37" s="42"/>
      <c r="H37" s="44"/>
      <c r="I37" s="44">
        <f>IF(RIGHT($D37,1)="-","************",ROUND(IF(NOT(ISNUMBER(G37)),IF(NOT(ISNUMBER(F37)),1,F37),G37)*H37,2))</f>
        <v>0</v>
      </c>
      <c r="J37" s="45"/>
      <c r="K37" s="46"/>
      <c r="L37" s="47"/>
      <c r="M37" s="42"/>
      <c r="N37" s="48"/>
      <c r="O37" s="44">
        <f t="shared" si="0"/>
        <v>0</v>
      </c>
      <c r="P37" s="49" t="str">
        <f t="shared" si="1"/>
        <v/>
      </c>
      <c r="Q37" s="50" t="str">
        <f t="shared" si="2"/>
        <v/>
      </c>
      <c r="R37" s="47"/>
      <c r="S37" s="42"/>
      <c r="T37" s="48"/>
      <c r="U37" s="44">
        <f t="shared" si="3"/>
        <v>0</v>
      </c>
      <c r="V37" s="49" t="str">
        <f t="shared" si="4"/>
        <v/>
      </c>
      <c r="W37" s="50" t="str">
        <f t="shared" si="5"/>
        <v/>
      </c>
      <c r="X37" s="47"/>
      <c r="Y37" s="42"/>
      <c r="Z37" s="48"/>
      <c r="AA37" s="44">
        <f t="shared" si="6"/>
        <v>0</v>
      </c>
      <c r="AB37" s="49" t="str">
        <f t="shared" si="7"/>
        <v/>
      </c>
      <c r="AC37" s="50" t="str">
        <f t="shared" si="8"/>
        <v/>
      </c>
    </row>
    <row r="38" spans="1:29">
      <c r="A38" s="51">
        <f>A37+1</f>
        <v>10</v>
      </c>
      <c r="B38" s="52" t="str">
        <f>[1]!ArticleCode(Art_01.23.)</f>
        <v>01.23.</v>
      </c>
      <c r="C38" s="53" t="str">
        <f>[1]!ArticleDescription(Art_01.23.)</f>
        <v xml:space="preserve">werfcoördinatie – werfvergaderingen </v>
      </c>
      <c r="D38" s="42" t="str">
        <f>[1]!ArticleMeasureType(Art_01.23.)</f>
        <v/>
      </c>
      <c r="E38" s="42" t="str">
        <f>[1]!ArticleMeasureUnit(Art_01.23.)</f>
        <v>PM</v>
      </c>
      <c r="F38" s="60" t="str">
        <f>[1]!ArticleQuantity(Art_01.23.)</f>
        <v/>
      </c>
      <c r="G38" s="42"/>
      <c r="H38" s="44"/>
      <c r="I38" s="44">
        <f>IF(RIGHT($D38,1)="-","************",ROUND(IF(NOT(ISNUMBER(G38)),IF(NOT(ISNUMBER(F38)),1,F38),G38)*H38,2))</f>
        <v>0</v>
      </c>
      <c r="J38" s="45"/>
      <c r="K38" s="46"/>
      <c r="L38" s="47"/>
      <c r="M38" s="42"/>
      <c r="N38" s="48"/>
      <c r="O38" s="44">
        <f t="shared" si="0"/>
        <v>0</v>
      </c>
      <c r="P38" s="49" t="str">
        <f t="shared" si="1"/>
        <v/>
      </c>
      <c r="Q38" s="50" t="str">
        <f t="shared" si="2"/>
        <v/>
      </c>
      <c r="R38" s="47"/>
      <c r="S38" s="42"/>
      <c r="T38" s="48"/>
      <c r="U38" s="44">
        <f t="shared" si="3"/>
        <v>0</v>
      </c>
      <c r="V38" s="49" t="str">
        <f t="shared" si="4"/>
        <v/>
      </c>
      <c r="W38" s="50" t="str">
        <f t="shared" si="5"/>
        <v/>
      </c>
      <c r="X38" s="47"/>
      <c r="Y38" s="42"/>
      <c r="Z38" s="48"/>
      <c r="AA38" s="44">
        <f t="shared" si="6"/>
        <v>0</v>
      </c>
      <c r="AB38" s="49" t="str">
        <f t="shared" si="7"/>
        <v/>
      </c>
      <c r="AC38" s="50" t="str">
        <f t="shared" si="8"/>
        <v/>
      </c>
    </row>
    <row r="39" spans="1:29">
      <c r="A39" s="51">
        <f>A38+1</f>
        <v>11</v>
      </c>
      <c r="B39" s="52" t="str">
        <f>[1]!ArticleCode(Art_01.25.)</f>
        <v>01.25.</v>
      </c>
      <c r="C39" s="53" t="str">
        <f>[1]!ArticleDescription(Art_01.25.)</f>
        <v xml:space="preserve">werfcoördinatie – as-builtdossier </v>
      </c>
      <c r="D39" s="42" t="str">
        <f>[1]!ArticleMeasureType(Art_01.25.)</f>
        <v/>
      </c>
      <c r="E39" s="42" t="str">
        <f>[1]!ArticleMeasureUnit(Art_01.25.)</f>
        <v>PM</v>
      </c>
      <c r="F39" s="60" t="str">
        <f>[1]!ArticleQuantity(Art_01.25.)</f>
        <v/>
      </c>
      <c r="G39" s="42"/>
      <c r="H39" s="44"/>
      <c r="I39" s="44">
        <f>IF(RIGHT($D39,1)="-","************",ROUND(IF(NOT(ISNUMBER(G39)),IF(NOT(ISNUMBER(F39)),1,F39),G39)*H39,2))</f>
        <v>0</v>
      </c>
      <c r="J39" s="45"/>
      <c r="K39" s="46"/>
      <c r="L39" s="47"/>
      <c r="M39" s="42"/>
      <c r="N39" s="48"/>
      <c r="O39" s="44">
        <f t="shared" si="0"/>
        <v>0</v>
      </c>
      <c r="P39" s="49" t="str">
        <f t="shared" si="1"/>
        <v/>
      </c>
      <c r="Q39" s="50" t="str">
        <f t="shared" si="2"/>
        <v/>
      </c>
      <c r="R39" s="47"/>
      <c r="S39" s="42"/>
      <c r="T39" s="48"/>
      <c r="U39" s="44">
        <f t="shared" si="3"/>
        <v>0</v>
      </c>
      <c r="V39" s="49" t="str">
        <f t="shared" si="4"/>
        <v/>
      </c>
      <c r="W39" s="50" t="str">
        <f t="shared" si="5"/>
        <v/>
      </c>
      <c r="X39" s="47"/>
      <c r="Y39" s="42"/>
      <c r="Z39" s="48"/>
      <c r="AA39" s="44">
        <f t="shared" si="6"/>
        <v>0</v>
      </c>
      <c r="AB39" s="49" t="str">
        <f t="shared" si="7"/>
        <v/>
      </c>
      <c r="AC39" s="50" t="str">
        <f t="shared" si="8"/>
        <v/>
      </c>
    </row>
    <row r="40" spans="1:29">
      <c r="B40" s="52" t="str">
        <f>[1]!ArticleCode(Art_01.30.)</f>
        <v>01.30.</v>
      </c>
      <c r="C40" s="53" t="str">
        <f>[1]!ArticleDescription(Art_01.30.)</f>
        <v>werfcondities – algemeen</v>
      </c>
      <c r="D40" s="42"/>
      <c r="E40" s="42"/>
      <c r="F40" s="42"/>
      <c r="G40" s="42"/>
      <c r="H40" s="44"/>
      <c r="I40" s="44"/>
      <c r="J40" s="45"/>
      <c r="K40" s="46"/>
      <c r="L40" s="47"/>
      <c r="M40" s="42"/>
      <c r="N40" s="48"/>
      <c r="O40" s="44">
        <f t="shared" si="0"/>
        <v>0</v>
      </c>
      <c r="P40" s="49" t="str">
        <f t="shared" si="1"/>
        <v/>
      </c>
      <c r="Q40" s="50" t="str">
        <f t="shared" si="2"/>
        <v/>
      </c>
      <c r="R40" s="47"/>
      <c r="S40" s="42"/>
      <c r="T40" s="48"/>
      <c r="U40" s="44">
        <f t="shared" si="3"/>
        <v>0</v>
      </c>
      <c r="V40" s="49" t="str">
        <f t="shared" si="4"/>
        <v/>
      </c>
      <c r="W40" s="50" t="str">
        <f t="shared" si="5"/>
        <v/>
      </c>
      <c r="X40" s="47"/>
      <c r="Y40" s="42"/>
      <c r="Z40" s="48"/>
      <c r="AA40" s="44">
        <f t="shared" si="6"/>
        <v>0</v>
      </c>
      <c r="AB40" s="49" t="str">
        <f t="shared" si="7"/>
        <v/>
      </c>
      <c r="AC40" s="50" t="str">
        <f t="shared" si="8"/>
        <v/>
      </c>
    </row>
    <row r="41" spans="1:29">
      <c r="A41" s="51">
        <f>A39+1</f>
        <v>12</v>
      </c>
      <c r="B41" s="52" t="str">
        <f>[1]!ArticleCode(Art_01.31.)</f>
        <v>01.31.</v>
      </c>
      <c r="C41" s="53" t="str">
        <f>[1]!ArticleDescription(Art_01.31.)</f>
        <v xml:space="preserve">werfcondities – orde en netheid </v>
      </c>
      <c r="D41" s="42" t="str">
        <f>[1]!ArticleMeasureType(Art_01.31.)</f>
        <v/>
      </c>
      <c r="E41" s="42" t="str">
        <f>[1]!ArticleMeasureUnit(Art_01.31.)</f>
        <v>PM</v>
      </c>
      <c r="F41" s="60" t="str">
        <f>[1]!ArticleQuantity(Art_01.31.)</f>
        <v/>
      </c>
      <c r="G41" s="42"/>
      <c r="H41" s="44"/>
      <c r="I41" s="44">
        <f>IF(RIGHT($D41,1)="-","************",ROUND(IF(NOT(ISNUMBER(G41)),IF(NOT(ISNUMBER(F41)),1,F41),G41)*H41,2))</f>
        <v>0</v>
      </c>
      <c r="J41" s="45"/>
      <c r="K41" s="46"/>
      <c r="L41" s="47"/>
      <c r="M41" s="42"/>
      <c r="N41" s="48"/>
      <c r="O41" s="44">
        <f t="shared" si="0"/>
        <v>0</v>
      </c>
      <c r="P41" s="49" t="str">
        <f t="shared" si="1"/>
        <v/>
      </c>
      <c r="Q41" s="50" t="str">
        <f t="shared" si="2"/>
        <v/>
      </c>
      <c r="R41" s="47"/>
      <c r="S41" s="42"/>
      <c r="T41" s="48"/>
      <c r="U41" s="44">
        <f t="shared" si="3"/>
        <v>0</v>
      </c>
      <c r="V41" s="49" t="str">
        <f t="shared" si="4"/>
        <v/>
      </c>
      <c r="W41" s="50" t="str">
        <f t="shared" si="5"/>
        <v/>
      </c>
      <c r="X41" s="47"/>
      <c r="Y41" s="42"/>
      <c r="Z41" s="48"/>
      <c r="AA41" s="44">
        <f t="shared" si="6"/>
        <v>0</v>
      </c>
      <c r="AB41" s="49" t="str">
        <f t="shared" si="7"/>
        <v/>
      </c>
      <c r="AC41" s="50" t="str">
        <f t="shared" si="8"/>
        <v/>
      </c>
    </row>
    <row r="42" spans="1:29">
      <c r="A42" s="51">
        <f>A41+1</f>
        <v>13</v>
      </c>
      <c r="B42" s="52" t="str">
        <f>[1]!ArticleCode(Art_01.32.)</f>
        <v>01.32.</v>
      </c>
      <c r="C42" s="53" t="str">
        <f>[1]!ArticleDescription(Art_01.32.)</f>
        <v xml:space="preserve">werfcondities – geluids- en stofhinder </v>
      </c>
      <c r="D42" s="42" t="str">
        <f>[1]!ArticleMeasureType(Art_01.32.)</f>
        <v/>
      </c>
      <c r="E42" s="42" t="str">
        <f>[1]!ArticleMeasureUnit(Art_01.32.)</f>
        <v>PM</v>
      </c>
      <c r="F42" s="60" t="str">
        <f>[1]!ArticleQuantity(Art_01.32.)</f>
        <v/>
      </c>
      <c r="G42" s="42"/>
      <c r="H42" s="44"/>
      <c r="I42" s="44">
        <f>IF(RIGHT($D42,1)="-","************",ROUND(IF(NOT(ISNUMBER(G42)),IF(NOT(ISNUMBER(F42)),1,F42),G42)*H42,2))</f>
        <v>0</v>
      </c>
      <c r="J42" s="45"/>
      <c r="K42" s="46"/>
      <c r="L42" s="47"/>
      <c r="M42" s="42"/>
      <c r="N42" s="48"/>
      <c r="O42" s="44">
        <f t="shared" si="0"/>
        <v>0</v>
      </c>
      <c r="P42" s="49" t="str">
        <f t="shared" si="1"/>
        <v/>
      </c>
      <c r="Q42" s="50" t="str">
        <f t="shared" si="2"/>
        <v/>
      </c>
      <c r="R42" s="47"/>
      <c r="S42" s="42"/>
      <c r="T42" s="48"/>
      <c r="U42" s="44">
        <f t="shared" si="3"/>
        <v>0</v>
      </c>
      <c r="V42" s="49" t="str">
        <f t="shared" si="4"/>
        <v/>
      </c>
      <c r="W42" s="50" t="str">
        <f t="shared" si="5"/>
        <v/>
      </c>
      <c r="X42" s="47"/>
      <c r="Y42" s="42"/>
      <c r="Z42" s="48"/>
      <c r="AA42" s="44">
        <f t="shared" si="6"/>
        <v>0</v>
      </c>
      <c r="AB42" s="49" t="str">
        <f t="shared" si="7"/>
        <v/>
      </c>
      <c r="AC42" s="50" t="str">
        <f t="shared" si="8"/>
        <v/>
      </c>
    </row>
    <row r="43" spans="1:29">
      <c r="A43" s="51">
        <f>A42+1</f>
        <v>14</v>
      </c>
      <c r="B43" s="52" t="str">
        <f>[1]!ArticleCode(Art_01.33.)</f>
        <v>01.33.</v>
      </c>
      <c r="C43" s="53" t="str">
        <f>[1]!ArticleDescription(Art_01.33.)</f>
        <v xml:space="preserve">werfcondities – nazorg </v>
      </c>
      <c r="D43" s="42" t="str">
        <f>[1]!ArticleMeasureType(Art_01.33.)</f>
        <v/>
      </c>
      <c r="E43" s="42" t="str">
        <f>[1]!ArticleMeasureUnit(Art_01.33.)</f>
        <v>PM</v>
      </c>
      <c r="F43" s="60" t="str">
        <f>[1]!ArticleQuantity(Art_01.33.)</f>
        <v/>
      </c>
      <c r="G43" s="42"/>
      <c r="H43" s="44"/>
      <c r="I43" s="44">
        <f>IF(RIGHT($D43,1)="-","************",ROUND(IF(NOT(ISNUMBER(G43)),IF(NOT(ISNUMBER(F43)),1,F43),G43)*H43,2))</f>
        <v>0</v>
      </c>
      <c r="J43" s="45"/>
      <c r="K43" s="46"/>
      <c r="L43" s="47"/>
      <c r="M43" s="42"/>
      <c r="N43" s="48"/>
      <c r="O43" s="44">
        <f t="shared" si="0"/>
        <v>0</v>
      </c>
      <c r="P43" s="49" t="str">
        <f t="shared" si="1"/>
        <v/>
      </c>
      <c r="Q43" s="50" t="str">
        <f t="shared" si="2"/>
        <v/>
      </c>
      <c r="R43" s="47"/>
      <c r="S43" s="42"/>
      <c r="T43" s="48"/>
      <c r="U43" s="44">
        <f t="shared" si="3"/>
        <v>0</v>
      </c>
      <c r="V43" s="49" t="str">
        <f t="shared" si="4"/>
        <v/>
      </c>
      <c r="W43" s="50" t="str">
        <f t="shared" si="5"/>
        <v/>
      </c>
      <c r="X43" s="47"/>
      <c r="Y43" s="42"/>
      <c r="Z43" s="48"/>
      <c r="AA43" s="44">
        <f t="shared" si="6"/>
        <v>0</v>
      </c>
      <c r="AB43" s="49" t="str">
        <f t="shared" si="7"/>
        <v/>
      </c>
      <c r="AC43" s="50" t="str">
        <f t="shared" si="8"/>
        <v/>
      </c>
    </row>
    <row r="44" spans="1:29">
      <c r="A44" s="51">
        <f>A43+1</f>
        <v>15</v>
      </c>
      <c r="B44" s="52" t="str">
        <f>[1]!ArticleCode(Art_01.40.)</f>
        <v>01.40.</v>
      </c>
      <c r="C44" s="53" t="str">
        <f>[1]!ArticleDescription(Art_01.40.)</f>
        <v xml:space="preserve">veiligheidsvoorschriften – algemeen </v>
      </c>
      <c r="D44" s="42" t="str">
        <f>[1]!ArticleMeasureType(Art_01.40.)</f>
        <v/>
      </c>
      <c r="E44" s="42" t="str">
        <f>[1]!ArticleMeasureUnit(Art_01.40.)</f>
        <v>PM</v>
      </c>
      <c r="F44" s="60" t="str">
        <f>[1]!ArticleQuantity(Art_01.40.)</f>
        <v/>
      </c>
      <c r="G44" s="42"/>
      <c r="H44" s="44"/>
      <c r="I44" s="44">
        <f>IF(RIGHT($D44,1)="-","************",ROUND(IF(NOT(ISNUMBER(G44)),IF(NOT(ISNUMBER(F44)),1,F44),G44)*H44,2))</f>
        <v>0</v>
      </c>
      <c r="J44" s="45"/>
      <c r="K44" s="46"/>
      <c r="L44" s="47"/>
      <c r="M44" s="42"/>
      <c r="N44" s="48"/>
      <c r="O44" s="44">
        <f t="shared" si="0"/>
        <v>0</v>
      </c>
      <c r="P44" s="49" t="str">
        <f t="shared" si="1"/>
        <v/>
      </c>
      <c r="Q44" s="50" t="str">
        <f t="shared" si="2"/>
        <v/>
      </c>
      <c r="R44" s="47"/>
      <c r="S44" s="42"/>
      <c r="T44" s="48"/>
      <c r="U44" s="44">
        <f t="shared" si="3"/>
        <v>0</v>
      </c>
      <c r="V44" s="49" t="str">
        <f t="shared" si="4"/>
        <v/>
      </c>
      <c r="W44" s="50" t="str">
        <f t="shared" si="5"/>
        <v/>
      </c>
      <c r="X44" s="47"/>
      <c r="Y44" s="42"/>
      <c r="Z44" s="48"/>
      <c r="AA44" s="44">
        <f t="shared" si="6"/>
        <v>0</v>
      </c>
      <c r="AB44" s="49" t="str">
        <f t="shared" si="7"/>
        <v/>
      </c>
      <c r="AC44" s="50" t="str">
        <f t="shared" si="8"/>
        <v/>
      </c>
    </row>
    <row r="45" spans="1:29">
      <c r="B45" s="54"/>
      <c r="C45" s="55"/>
      <c r="D45" s="56"/>
      <c r="E45" s="55"/>
      <c r="F45" s="55"/>
      <c r="G45" s="55"/>
      <c r="H45" s="57"/>
      <c r="I45" s="57"/>
      <c r="J45" s="58">
        <f>SUBTOTAL(9,I26:I44)</f>
        <v>0</v>
      </c>
      <c r="K45" s="46"/>
      <c r="L45" s="47"/>
      <c r="M45" s="42"/>
      <c r="N45" s="48"/>
      <c r="O45" s="44">
        <f t="shared" si="0"/>
        <v>0</v>
      </c>
      <c r="P45" s="49" t="str">
        <f t="shared" si="1"/>
        <v/>
      </c>
      <c r="Q45" s="50" t="str">
        <f t="shared" si="2"/>
        <v/>
      </c>
      <c r="R45" s="47"/>
      <c r="S45" s="42"/>
      <c r="T45" s="48"/>
      <c r="U45" s="44">
        <f t="shared" si="3"/>
        <v>0</v>
      </c>
      <c r="V45" s="49" t="str">
        <f t="shared" si="4"/>
        <v/>
      </c>
      <c r="W45" s="50" t="str">
        <f t="shared" si="5"/>
        <v/>
      </c>
      <c r="X45" s="47"/>
      <c r="Y45" s="42"/>
      <c r="Z45" s="48"/>
      <c r="AA45" s="44">
        <f t="shared" si="6"/>
        <v>0</v>
      </c>
      <c r="AB45" s="49" t="str">
        <f t="shared" si="7"/>
        <v/>
      </c>
      <c r="AC45" s="50" t="str">
        <f t="shared" si="8"/>
        <v/>
      </c>
    </row>
    <row r="46" spans="1:29">
      <c r="B46" s="59"/>
      <c r="C46" s="42"/>
      <c r="D46" s="42"/>
      <c r="E46" s="42"/>
      <c r="F46" s="42"/>
      <c r="G46" s="42"/>
      <c r="H46" s="44"/>
      <c r="I46" s="44"/>
      <c r="J46" s="45"/>
      <c r="K46" s="46"/>
      <c r="L46" s="47"/>
      <c r="M46" s="42"/>
      <c r="N46" s="48"/>
      <c r="O46" s="44">
        <f t="shared" si="0"/>
        <v>0</v>
      </c>
      <c r="P46" s="49" t="str">
        <f t="shared" si="1"/>
        <v/>
      </c>
      <c r="Q46" s="50" t="str">
        <f t="shared" si="2"/>
        <v/>
      </c>
      <c r="R46" s="47"/>
      <c r="S46" s="42"/>
      <c r="T46" s="48"/>
      <c r="U46" s="44">
        <f t="shared" si="3"/>
        <v>0</v>
      </c>
      <c r="V46" s="49" t="str">
        <f t="shared" si="4"/>
        <v/>
      </c>
      <c r="W46" s="50" t="str">
        <f t="shared" si="5"/>
        <v/>
      </c>
      <c r="X46" s="47"/>
      <c r="Y46" s="42"/>
      <c r="Z46" s="48"/>
      <c r="AA46" s="44">
        <f t="shared" si="6"/>
        <v>0</v>
      </c>
      <c r="AB46" s="49" t="str">
        <f t="shared" si="7"/>
        <v/>
      </c>
      <c r="AC46" s="50" t="str">
        <f t="shared" si="8"/>
        <v/>
      </c>
    </row>
    <row r="47" spans="1:29">
      <c r="B47" s="41" t="s">
        <v>115</v>
      </c>
      <c r="C47" s="42"/>
      <c r="D47" s="43"/>
      <c r="E47" s="42"/>
      <c r="F47" s="42"/>
      <c r="G47" s="42"/>
      <c r="H47" s="44"/>
      <c r="I47" s="44"/>
      <c r="J47" s="45"/>
      <c r="K47" s="46"/>
      <c r="L47" s="47"/>
      <c r="M47" s="42"/>
      <c r="N47" s="48"/>
      <c r="O47" s="44">
        <f t="shared" si="0"/>
        <v>0</v>
      </c>
      <c r="P47" s="49" t="str">
        <f t="shared" si="1"/>
        <v/>
      </c>
      <c r="Q47" s="50" t="str">
        <f t="shared" si="2"/>
        <v/>
      </c>
      <c r="R47" s="47"/>
      <c r="S47" s="42"/>
      <c r="T47" s="48"/>
      <c r="U47" s="44">
        <f t="shared" si="3"/>
        <v>0</v>
      </c>
      <c r="V47" s="49" t="str">
        <f t="shared" si="4"/>
        <v/>
      </c>
      <c r="W47" s="50" t="str">
        <f t="shared" si="5"/>
        <v/>
      </c>
      <c r="X47" s="47"/>
      <c r="Y47" s="42"/>
      <c r="Z47" s="48"/>
      <c r="AA47" s="44">
        <f t="shared" si="6"/>
        <v>0</v>
      </c>
      <c r="AB47" s="49" t="str">
        <f t="shared" si="7"/>
        <v/>
      </c>
      <c r="AC47" s="50" t="str">
        <f t="shared" si="8"/>
        <v/>
      </c>
    </row>
    <row r="48" spans="1:29">
      <c r="B48" s="52" t="str">
        <f>[1]!ArticleCode(Art_02.)</f>
        <v>02.</v>
      </c>
      <c r="C48" s="53" t="str">
        <f>[1]!ArticleDescription(Art_02.)</f>
        <v>BOUWPLAATSVOORZIENINGEN</v>
      </c>
      <c r="D48" s="42"/>
      <c r="E48" s="42"/>
      <c r="F48" s="42"/>
      <c r="G48" s="42"/>
      <c r="H48" s="44"/>
      <c r="I48" s="44"/>
      <c r="J48" s="45"/>
      <c r="K48" s="46"/>
      <c r="L48" s="47"/>
      <c r="M48" s="42"/>
      <c r="N48" s="48"/>
      <c r="O48" s="44">
        <f t="shared" si="0"/>
        <v>0</v>
      </c>
      <c r="P48" s="49" t="str">
        <f t="shared" si="1"/>
        <v/>
      </c>
      <c r="Q48" s="50" t="str">
        <f t="shared" si="2"/>
        <v/>
      </c>
      <c r="R48" s="47"/>
      <c r="S48" s="42"/>
      <c r="T48" s="48"/>
      <c r="U48" s="44">
        <f t="shared" si="3"/>
        <v>0</v>
      </c>
      <c r="V48" s="49" t="str">
        <f t="shared" si="4"/>
        <v/>
      </c>
      <c r="W48" s="50" t="str">
        <f t="shared" si="5"/>
        <v/>
      </c>
      <c r="X48" s="47"/>
      <c r="Y48" s="42"/>
      <c r="Z48" s="48"/>
      <c r="AA48" s="44">
        <f t="shared" si="6"/>
        <v>0</v>
      </c>
      <c r="AB48" s="49" t="str">
        <f t="shared" si="7"/>
        <v/>
      </c>
      <c r="AC48" s="50" t="str">
        <f t="shared" si="8"/>
        <v/>
      </c>
    </row>
    <row r="49" spans="1:29">
      <c r="B49" s="52" t="str">
        <f>[1]!ArticleCode(Art_02.00.)</f>
        <v>02.00.</v>
      </c>
      <c r="C49" s="53" t="str">
        <f>[1]!ArticleDescription(Art_02.00.)</f>
        <v>bouwplaatsvoorzieningen - algemeen</v>
      </c>
      <c r="D49" s="42"/>
      <c r="E49" s="42"/>
      <c r="F49" s="42"/>
      <c r="G49" s="42"/>
      <c r="H49" s="44"/>
      <c r="I49" s="44"/>
      <c r="J49" s="45"/>
      <c r="K49" s="46"/>
      <c r="L49" s="47"/>
      <c r="M49" s="42"/>
      <c r="N49" s="48"/>
      <c r="O49" s="44">
        <f t="shared" si="0"/>
        <v>0</v>
      </c>
      <c r="P49" s="49" t="str">
        <f t="shared" si="1"/>
        <v/>
      </c>
      <c r="Q49" s="50" t="str">
        <f t="shared" si="2"/>
        <v/>
      </c>
      <c r="R49" s="47"/>
      <c r="S49" s="42"/>
      <c r="T49" s="48"/>
      <c r="U49" s="44">
        <f t="shared" si="3"/>
        <v>0</v>
      </c>
      <c r="V49" s="49" t="str">
        <f t="shared" si="4"/>
        <v/>
      </c>
      <c r="W49" s="50" t="str">
        <f t="shared" si="5"/>
        <v/>
      </c>
      <c r="X49" s="47"/>
      <c r="Y49" s="42"/>
      <c r="Z49" s="48"/>
      <c r="AA49" s="44">
        <f t="shared" si="6"/>
        <v>0</v>
      </c>
      <c r="AB49" s="49" t="str">
        <f t="shared" si="7"/>
        <v/>
      </c>
      <c r="AC49" s="50" t="str">
        <f t="shared" si="8"/>
        <v/>
      </c>
    </row>
    <row r="50" spans="1:29">
      <c r="B50" s="52" t="str">
        <f>[1]!ArticleCode(Art_02.80.)</f>
        <v>02.80.</v>
      </c>
      <c r="C50" s="53" t="str">
        <f>[1]!ArticleDescription(Art_02.80.)</f>
        <v>arbeidsmiddelen – algemeen</v>
      </c>
      <c r="D50" s="42"/>
      <c r="E50" s="42"/>
      <c r="F50" s="42"/>
      <c r="G50" s="42"/>
      <c r="H50" s="44"/>
      <c r="I50" s="44"/>
      <c r="J50" s="45"/>
      <c r="K50" s="46"/>
      <c r="L50" s="47"/>
      <c r="M50" s="42"/>
      <c r="N50" s="48"/>
      <c r="O50" s="44">
        <f t="shared" si="0"/>
        <v>0</v>
      </c>
      <c r="P50" s="49" t="str">
        <f t="shared" si="1"/>
        <v/>
      </c>
      <c r="Q50" s="50" t="str">
        <f t="shared" si="2"/>
        <v/>
      </c>
      <c r="R50" s="47"/>
      <c r="S50" s="42"/>
      <c r="T50" s="48"/>
      <c r="U50" s="44">
        <f t="shared" si="3"/>
        <v>0</v>
      </c>
      <c r="V50" s="49" t="str">
        <f t="shared" si="4"/>
        <v/>
      </c>
      <c r="W50" s="50" t="str">
        <f t="shared" si="5"/>
        <v/>
      </c>
      <c r="X50" s="47"/>
      <c r="Y50" s="42"/>
      <c r="Z50" s="48"/>
      <c r="AA50" s="44">
        <f t="shared" si="6"/>
        <v>0</v>
      </c>
      <c r="AB50" s="49" t="str">
        <f t="shared" si="7"/>
        <v/>
      </c>
      <c r="AC50" s="50" t="str">
        <f t="shared" si="8"/>
        <v/>
      </c>
    </row>
    <row r="51" spans="1:29">
      <c r="B51" s="52" t="str">
        <f>[1]!ArticleCode(Art_02.81.)</f>
        <v>02.81.</v>
      </c>
      <c r="C51" s="53" t="str">
        <f>[1]!ArticleDescription(Art_02.81.)</f>
        <v>arbeidsmiddelen – werken op hoogte</v>
      </c>
      <c r="D51" s="42"/>
      <c r="E51" s="42"/>
      <c r="F51" s="42"/>
      <c r="G51" s="42"/>
      <c r="H51" s="44"/>
      <c r="I51" s="44"/>
      <c r="J51" s="45"/>
      <c r="K51" s="46"/>
      <c r="L51" s="47"/>
      <c r="M51" s="42"/>
      <c r="N51" s="48"/>
      <c r="O51" s="44">
        <f t="shared" si="0"/>
        <v>0</v>
      </c>
      <c r="P51" s="49" t="str">
        <f t="shared" si="1"/>
        <v/>
      </c>
      <c r="Q51" s="50" t="str">
        <f t="shared" si="2"/>
        <v/>
      </c>
      <c r="R51" s="47"/>
      <c r="S51" s="42"/>
      <c r="T51" s="48"/>
      <c r="U51" s="44">
        <f t="shared" si="3"/>
        <v>0</v>
      </c>
      <c r="V51" s="49" t="str">
        <f t="shared" si="4"/>
        <v/>
      </c>
      <c r="W51" s="50" t="str">
        <f t="shared" si="5"/>
        <v/>
      </c>
      <c r="X51" s="47"/>
      <c r="Y51" s="42"/>
      <c r="Z51" s="48"/>
      <c r="AA51" s="44">
        <f t="shared" si="6"/>
        <v>0</v>
      </c>
      <c r="AB51" s="49" t="str">
        <f t="shared" si="7"/>
        <v/>
      </c>
      <c r="AC51" s="50" t="str">
        <f t="shared" si="8"/>
        <v/>
      </c>
    </row>
    <row r="52" spans="1:29">
      <c r="A52" s="51">
        <f>A44+1</f>
        <v>16</v>
      </c>
      <c r="B52" s="52" t="str">
        <f>[1]!ArticleCode(Art_02.81.10.)</f>
        <v>02.81.10.</v>
      </c>
      <c r="C52" s="53" t="str">
        <f>[1]!ArticleDescription(Art_02.81.10.)</f>
        <v>arbeidsmiddelen – werken op hoogte/ladders</v>
      </c>
      <c r="D52" s="42" t="str">
        <f>[1]!ArticleMeasureType(Art_02.81.10.)</f>
        <v/>
      </c>
      <c r="E52" s="42" t="str">
        <f>[1]!ArticleMeasureUnit(Art_02.81.10.)</f>
        <v>PM</v>
      </c>
      <c r="F52" s="60" t="str">
        <f>[1]!ArticleQuantity(Art_02.81.10.)</f>
        <v/>
      </c>
      <c r="G52" s="42"/>
      <c r="H52" s="44"/>
      <c r="I52" s="44">
        <f>IF(RIGHT($D52,1)="-","************",ROUND(IF(NOT(ISNUMBER(G52)),IF(NOT(ISNUMBER(F52)),1,F52),G52)*H52,2))</f>
        <v>0</v>
      </c>
      <c r="J52" s="45"/>
      <c r="K52" s="46"/>
      <c r="L52" s="47"/>
      <c r="M52" s="42"/>
      <c r="N52" s="48"/>
      <c r="O52" s="44">
        <f t="shared" si="0"/>
        <v>0</v>
      </c>
      <c r="P52" s="49" t="str">
        <f t="shared" si="1"/>
        <v/>
      </c>
      <c r="Q52" s="50" t="str">
        <f t="shared" si="2"/>
        <v/>
      </c>
      <c r="R52" s="47"/>
      <c r="S52" s="42"/>
      <c r="T52" s="48"/>
      <c r="U52" s="44">
        <f t="shared" si="3"/>
        <v>0</v>
      </c>
      <c r="V52" s="49" t="str">
        <f t="shared" si="4"/>
        <v/>
      </c>
      <c r="W52" s="50" t="str">
        <f t="shared" si="5"/>
        <v/>
      </c>
      <c r="X52" s="47"/>
      <c r="Y52" s="42"/>
      <c r="Z52" s="48"/>
      <c r="AA52" s="44">
        <f t="shared" si="6"/>
        <v>0</v>
      </c>
      <c r="AB52" s="49" t="str">
        <f t="shared" si="7"/>
        <v/>
      </c>
      <c r="AC52" s="50" t="str">
        <f t="shared" si="8"/>
        <v/>
      </c>
    </row>
    <row r="53" spans="1:29">
      <c r="B53" s="54"/>
      <c r="C53" s="55"/>
      <c r="D53" s="56"/>
      <c r="E53" s="55"/>
      <c r="F53" s="55"/>
      <c r="G53" s="55"/>
      <c r="H53" s="57"/>
      <c r="I53" s="57"/>
      <c r="J53" s="58">
        <f>SUBTOTAL(9,I48:I52)</f>
        <v>0</v>
      </c>
      <c r="K53" s="46"/>
      <c r="L53" s="47"/>
      <c r="M53" s="42"/>
      <c r="N53" s="48"/>
      <c r="O53" s="44">
        <f t="shared" si="0"/>
        <v>0</v>
      </c>
      <c r="P53" s="49" t="str">
        <f t="shared" si="1"/>
        <v/>
      </c>
      <c r="Q53" s="50" t="str">
        <f t="shared" si="2"/>
        <v/>
      </c>
      <c r="R53" s="47"/>
      <c r="S53" s="42"/>
      <c r="T53" s="48"/>
      <c r="U53" s="44">
        <f t="shared" si="3"/>
        <v>0</v>
      </c>
      <c r="V53" s="49" t="str">
        <f t="shared" si="4"/>
        <v/>
      </c>
      <c r="W53" s="50" t="str">
        <f t="shared" si="5"/>
        <v/>
      </c>
      <c r="X53" s="47"/>
      <c r="Y53" s="42"/>
      <c r="Z53" s="48"/>
      <c r="AA53" s="44">
        <f t="shared" si="6"/>
        <v>0</v>
      </c>
      <c r="AB53" s="49" t="str">
        <f t="shared" si="7"/>
        <v/>
      </c>
      <c r="AC53" s="50" t="str">
        <f t="shared" si="8"/>
        <v/>
      </c>
    </row>
    <row r="54" spans="1:29">
      <c r="B54" s="59"/>
      <c r="C54" s="42"/>
      <c r="D54" s="42"/>
      <c r="E54" s="42"/>
      <c r="F54" s="42"/>
      <c r="G54" s="42"/>
      <c r="H54" s="44"/>
      <c r="I54" s="44"/>
      <c r="J54" s="45"/>
      <c r="K54" s="46"/>
      <c r="L54" s="47"/>
      <c r="M54" s="42"/>
      <c r="N54" s="48"/>
      <c r="O54" s="44">
        <f t="shared" si="0"/>
        <v>0</v>
      </c>
      <c r="P54" s="49" t="str">
        <f t="shared" si="1"/>
        <v/>
      </c>
      <c r="Q54" s="50" t="str">
        <f t="shared" si="2"/>
        <v/>
      </c>
      <c r="R54" s="47"/>
      <c r="S54" s="42"/>
      <c r="T54" s="48"/>
      <c r="U54" s="44">
        <f t="shared" si="3"/>
        <v>0</v>
      </c>
      <c r="V54" s="49" t="str">
        <f t="shared" si="4"/>
        <v/>
      </c>
      <c r="W54" s="50" t="str">
        <f t="shared" si="5"/>
        <v/>
      </c>
      <c r="X54" s="47"/>
      <c r="Y54" s="42"/>
      <c r="Z54" s="48"/>
      <c r="AA54" s="44">
        <f t="shared" si="6"/>
        <v>0</v>
      </c>
      <c r="AB54" s="49" t="str">
        <f t="shared" si="7"/>
        <v/>
      </c>
      <c r="AC54" s="50" t="str">
        <f t="shared" si="8"/>
        <v/>
      </c>
    </row>
    <row r="55" spans="1:29">
      <c r="B55" s="41" t="s">
        <v>116</v>
      </c>
      <c r="C55" s="42"/>
      <c r="D55" s="43"/>
      <c r="E55" s="42"/>
      <c r="F55" s="42"/>
      <c r="G55" s="42"/>
      <c r="H55" s="44"/>
      <c r="I55" s="44"/>
      <c r="J55" s="45"/>
      <c r="K55" s="46"/>
      <c r="L55" s="47"/>
      <c r="M55" s="42"/>
      <c r="N55" s="48"/>
      <c r="O55" s="44">
        <f t="shared" si="0"/>
        <v>0</v>
      </c>
      <c r="P55" s="49" t="str">
        <f t="shared" si="1"/>
        <v/>
      </c>
      <c r="Q55" s="50" t="str">
        <f t="shared" si="2"/>
        <v/>
      </c>
      <c r="R55" s="47"/>
      <c r="S55" s="42"/>
      <c r="T55" s="48"/>
      <c r="U55" s="44">
        <f t="shared" si="3"/>
        <v>0</v>
      </c>
      <c r="V55" s="49" t="str">
        <f t="shared" si="4"/>
        <v/>
      </c>
      <c r="W55" s="50" t="str">
        <f t="shared" si="5"/>
        <v/>
      </c>
      <c r="X55" s="47"/>
      <c r="Y55" s="42"/>
      <c r="Z55" s="48"/>
      <c r="AA55" s="44">
        <f t="shared" si="6"/>
        <v>0</v>
      </c>
      <c r="AB55" s="49" t="str">
        <f t="shared" si="7"/>
        <v/>
      </c>
      <c r="AC55" s="50" t="str">
        <f t="shared" si="8"/>
        <v/>
      </c>
    </row>
    <row r="56" spans="1:29">
      <c r="B56" s="52" t="str">
        <f>[1]!ArticleCode(Art_04.)</f>
        <v>04.</v>
      </c>
      <c r="C56" s="53" t="str">
        <f>[1]!ArticleDescription(Art_04.)</f>
        <v>GEBOUWPRESTATIES</v>
      </c>
      <c r="D56" s="42"/>
      <c r="E56" s="42"/>
      <c r="F56" s="42"/>
      <c r="G56" s="42"/>
      <c r="H56" s="44"/>
      <c r="I56" s="44"/>
      <c r="J56" s="45"/>
      <c r="K56" s="46"/>
      <c r="L56" s="47"/>
      <c r="M56" s="42"/>
      <c r="N56" s="48"/>
      <c r="O56" s="44">
        <f t="shared" si="0"/>
        <v>0</v>
      </c>
      <c r="P56" s="49" t="str">
        <f t="shared" si="1"/>
        <v/>
      </c>
      <c r="Q56" s="50" t="str">
        <f t="shared" si="2"/>
        <v/>
      </c>
      <c r="R56" s="47"/>
      <c r="S56" s="42"/>
      <c r="T56" s="48"/>
      <c r="U56" s="44">
        <f t="shared" si="3"/>
        <v>0</v>
      </c>
      <c r="V56" s="49" t="str">
        <f t="shared" si="4"/>
        <v/>
      </c>
      <c r="W56" s="50" t="str">
        <f t="shared" si="5"/>
        <v/>
      </c>
      <c r="X56" s="47"/>
      <c r="Y56" s="42"/>
      <c r="Z56" s="48"/>
      <c r="AA56" s="44">
        <f t="shared" si="6"/>
        <v>0</v>
      </c>
      <c r="AB56" s="49" t="str">
        <f t="shared" si="7"/>
        <v/>
      </c>
      <c r="AC56" s="50" t="str">
        <f t="shared" si="8"/>
        <v/>
      </c>
    </row>
    <row r="57" spans="1:29">
      <c r="B57" s="52" t="str">
        <f>[1]!ArticleCode(Art_04.00.)</f>
        <v>04.00.</v>
      </c>
      <c r="C57" s="53" t="str">
        <f>[1]!ArticleDescription(Art_04.00.)</f>
        <v>gebouwprestaties - algemeen</v>
      </c>
      <c r="D57" s="42"/>
      <c r="E57" s="42"/>
      <c r="F57" s="42"/>
      <c r="G57" s="42"/>
      <c r="H57" s="44"/>
      <c r="I57" s="44"/>
      <c r="J57" s="45"/>
      <c r="K57" s="46"/>
      <c r="L57" s="47"/>
      <c r="M57" s="42"/>
      <c r="N57" s="48"/>
      <c r="O57" s="44">
        <f t="shared" si="0"/>
        <v>0</v>
      </c>
      <c r="P57" s="49" t="str">
        <f t="shared" si="1"/>
        <v/>
      </c>
      <c r="Q57" s="50" t="str">
        <f t="shared" si="2"/>
        <v/>
      </c>
      <c r="R57" s="47"/>
      <c r="S57" s="42"/>
      <c r="T57" s="48"/>
      <c r="U57" s="44">
        <f t="shared" si="3"/>
        <v>0</v>
      </c>
      <c r="V57" s="49" t="str">
        <f t="shared" si="4"/>
        <v/>
      </c>
      <c r="W57" s="50" t="str">
        <f t="shared" si="5"/>
        <v/>
      </c>
      <c r="X57" s="47"/>
      <c r="Y57" s="42"/>
      <c r="Z57" s="48"/>
      <c r="AA57" s="44">
        <f t="shared" si="6"/>
        <v>0</v>
      </c>
      <c r="AB57" s="49" t="str">
        <f t="shared" si="7"/>
        <v/>
      </c>
      <c r="AC57" s="50" t="str">
        <f t="shared" si="8"/>
        <v/>
      </c>
    </row>
    <row r="58" spans="1:29">
      <c r="A58" s="51">
        <f>A52+1</f>
        <v>17</v>
      </c>
      <c r="B58" s="52" t="str">
        <f>[1]!ArticleCode(Art_04.10.)</f>
        <v>04.10.</v>
      </c>
      <c r="C58" s="53" t="str">
        <f>[1]!ArticleDescription(Art_04.10.)</f>
        <v xml:space="preserve">energieprestatie en binnenklimaat (EPB) – algemeen </v>
      </c>
      <c r="D58" s="42" t="str">
        <f>[1]!ArticleMeasureType(Art_04.10.)</f>
        <v/>
      </c>
      <c r="E58" s="42" t="str">
        <f>[1]!ArticleMeasureUnit(Art_04.10.)</f>
        <v>PM</v>
      </c>
      <c r="F58" s="60" t="str">
        <f>[1]!ArticleQuantity(Art_04.10.)</f>
        <v/>
      </c>
      <c r="G58" s="42"/>
      <c r="H58" s="44"/>
      <c r="I58" s="44">
        <f>IF(RIGHT($D58,1)="-","************",ROUND(IF(NOT(ISNUMBER(G58)),IF(NOT(ISNUMBER(F58)),1,F58),G58)*H58,2))</f>
        <v>0</v>
      </c>
      <c r="J58" s="45"/>
      <c r="K58" s="46"/>
      <c r="L58" s="47"/>
      <c r="M58" s="42"/>
      <c r="N58" s="48"/>
      <c r="O58" s="44">
        <f t="shared" si="0"/>
        <v>0</v>
      </c>
      <c r="P58" s="49" t="str">
        <f t="shared" si="1"/>
        <v/>
      </c>
      <c r="Q58" s="50" t="str">
        <f t="shared" si="2"/>
        <v/>
      </c>
      <c r="R58" s="47"/>
      <c r="S58" s="42"/>
      <c r="T58" s="48"/>
      <c r="U58" s="44">
        <f t="shared" si="3"/>
        <v>0</v>
      </c>
      <c r="V58" s="49" t="str">
        <f t="shared" si="4"/>
        <v/>
      </c>
      <c r="W58" s="50" t="str">
        <f t="shared" si="5"/>
        <v/>
      </c>
      <c r="X58" s="47"/>
      <c r="Y58" s="42"/>
      <c r="Z58" s="48"/>
      <c r="AA58" s="44">
        <f t="shared" si="6"/>
        <v>0</v>
      </c>
      <c r="AB58" s="49" t="str">
        <f t="shared" si="7"/>
        <v/>
      </c>
      <c r="AC58" s="50" t="str">
        <f t="shared" si="8"/>
        <v/>
      </c>
    </row>
    <row r="59" spans="1:29">
      <c r="A59" s="51">
        <f>A58+1</f>
        <v>18</v>
      </c>
      <c r="B59" s="52" t="str">
        <f>[1]!ArticleCode(Art_04.40.)</f>
        <v>04.40.</v>
      </c>
      <c r="C59" s="53" t="str">
        <f>[1]!ArticleDescription(Art_04.40.)</f>
        <v xml:space="preserve">brandveiligheid - algemeen </v>
      </c>
      <c r="D59" s="42" t="str">
        <f>[1]!ArticleMeasureType(Art_04.40.)</f>
        <v/>
      </c>
      <c r="E59" s="42" t="str">
        <f>[1]!ArticleMeasureUnit(Art_04.40.)</f>
        <v>PM</v>
      </c>
      <c r="F59" s="60" t="str">
        <f>[1]!ArticleQuantity(Art_04.40.)</f>
        <v/>
      </c>
      <c r="G59" s="42"/>
      <c r="H59" s="44"/>
      <c r="I59" s="44">
        <f>IF(RIGHT($D59,1)="-","************",ROUND(IF(NOT(ISNUMBER(G59)),IF(NOT(ISNUMBER(F59)),1,F59),G59)*H59,2))</f>
        <v>0</v>
      </c>
      <c r="J59" s="45"/>
      <c r="K59" s="46"/>
      <c r="L59" s="47"/>
      <c r="M59" s="42"/>
      <c r="N59" s="48"/>
      <c r="O59" s="44">
        <f t="shared" si="0"/>
        <v>0</v>
      </c>
      <c r="P59" s="49" t="str">
        <f t="shared" si="1"/>
        <v/>
      </c>
      <c r="Q59" s="50" t="str">
        <f t="shared" si="2"/>
        <v/>
      </c>
      <c r="R59" s="47"/>
      <c r="S59" s="42"/>
      <c r="T59" s="48"/>
      <c r="U59" s="44">
        <f t="shared" si="3"/>
        <v>0</v>
      </c>
      <c r="V59" s="49" t="str">
        <f t="shared" si="4"/>
        <v/>
      </c>
      <c r="W59" s="50" t="str">
        <f t="shared" si="5"/>
        <v/>
      </c>
      <c r="X59" s="47"/>
      <c r="Y59" s="42"/>
      <c r="Z59" s="48"/>
      <c r="AA59" s="44">
        <f t="shared" si="6"/>
        <v>0</v>
      </c>
      <c r="AB59" s="49" t="str">
        <f t="shared" si="7"/>
        <v/>
      </c>
      <c r="AC59" s="50" t="str">
        <f t="shared" si="8"/>
        <v/>
      </c>
    </row>
    <row r="60" spans="1:29">
      <c r="B60" s="54"/>
      <c r="C60" s="55"/>
      <c r="D60" s="56"/>
      <c r="E60" s="55"/>
      <c r="F60" s="55"/>
      <c r="G60" s="55"/>
      <c r="H60" s="57"/>
      <c r="I60" s="57"/>
      <c r="J60" s="58">
        <f>SUBTOTAL(9,I56:I59)</f>
        <v>0</v>
      </c>
      <c r="K60" s="46"/>
      <c r="L60" s="47"/>
      <c r="M60" s="42"/>
      <c r="N60" s="48"/>
      <c r="O60" s="44">
        <f t="shared" si="0"/>
        <v>0</v>
      </c>
      <c r="P60" s="49" t="str">
        <f t="shared" si="1"/>
        <v/>
      </c>
      <c r="Q60" s="50" t="str">
        <f t="shared" si="2"/>
        <v/>
      </c>
      <c r="R60" s="47"/>
      <c r="S60" s="42"/>
      <c r="T60" s="48"/>
      <c r="U60" s="44">
        <f t="shared" si="3"/>
        <v>0</v>
      </c>
      <c r="V60" s="49" t="str">
        <f t="shared" si="4"/>
        <v/>
      </c>
      <c r="W60" s="50" t="str">
        <f t="shared" si="5"/>
        <v/>
      </c>
      <c r="X60" s="47"/>
      <c r="Y60" s="42"/>
      <c r="Z60" s="48"/>
      <c r="AA60" s="44">
        <f t="shared" si="6"/>
        <v>0</v>
      </c>
      <c r="AB60" s="49" t="str">
        <f t="shared" si="7"/>
        <v/>
      </c>
      <c r="AC60" s="50" t="str">
        <f t="shared" si="8"/>
        <v/>
      </c>
    </row>
    <row r="61" spans="1:29">
      <c r="B61" s="59"/>
      <c r="C61" s="42"/>
      <c r="D61" s="42"/>
      <c r="E61" s="42"/>
      <c r="F61" s="42"/>
      <c r="G61" s="42"/>
      <c r="H61" s="44"/>
      <c r="I61" s="44"/>
      <c r="J61" s="45"/>
      <c r="K61" s="46"/>
      <c r="L61" s="47"/>
      <c r="M61" s="42"/>
      <c r="N61" s="48"/>
      <c r="O61" s="44">
        <f t="shared" si="0"/>
        <v>0</v>
      </c>
      <c r="P61" s="49" t="str">
        <f t="shared" si="1"/>
        <v/>
      </c>
      <c r="Q61" s="50" t="str">
        <f t="shared" si="2"/>
        <v/>
      </c>
      <c r="R61" s="47"/>
      <c r="S61" s="42"/>
      <c r="T61" s="48"/>
      <c r="U61" s="44">
        <f t="shared" si="3"/>
        <v>0</v>
      </c>
      <c r="V61" s="49" t="str">
        <f t="shared" si="4"/>
        <v/>
      </c>
      <c r="W61" s="50" t="str">
        <f t="shared" si="5"/>
        <v/>
      </c>
      <c r="X61" s="47"/>
      <c r="Y61" s="42"/>
      <c r="Z61" s="48"/>
      <c r="AA61" s="44">
        <f t="shared" si="6"/>
        <v>0</v>
      </c>
      <c r="AB61" s="49" t="str">
        <f t="shared" si="7"/>
        <v/>
      </c>
      <c r="AC61" s="50" t="str">
        <f t="shared" si="8"/>
        <v/>
      </c>
    </row>
    <row r="62" spans="1:29">
      <c r="B62" s="41" t="s">
        <v>113</v>
      </c>
      <c r="C62" s="42"/>
      <c r="D62" s="43"/>
      <c r="E62" s="42"/>
      <c r="F62" s="42"/>
      <c r="G62" s="42"/>
      <c r="H62" s="44"/>
      <c r="I62" s="44"/>
      <c r="J62" s="45"/>
      <c r="K62" s="46"/>
      <c r="L62" s="47"/>
      <c r="M62" s="42"/>
      <c r="N62" s="48"/>
      <c r="O62" s="44">
        <f t="shared" si="0"/>
        <v>0</v>
      </c>
      <c r="P62" s="49" t="str">
        <f t="shared" si="1"/>
        <v/>
      </c>
      <c r="Q62" s="50" t="str">
        <f t="shared" si="2"/>
        <v/>
      </c>
      <c r="R62" s="47"/>
      <c r="S62" s="42"/>
      <c r="T62" s="48"/>
      <c r="U62" s="44">
        <f t="shared" si="3"/>
        <v>0</v>
      </c>
      <c r="V62" s="49" t="str">
        <f t="shared" si="4"/>
        <v/>
      </c>
      <c r="W62" s="50" t="str">
        <f t="shared" si="5"/>
        <v/>
      </c>
      <c r="X62" s="47"/>
      <c r="Y62" s="42"/>
      <c r="Z62" s="48"/>
      <c r="AA62" s="44">
        <f t="shared" si="6"/>
        <v>0</v>
      </c>
      <c r="AB62" s="49" t="str">
        <f t="shared" si="7"/>
        <v/>
      </c>
      <c r="AC62" s="50" t="str">
        <f t="shared" si="8"/>
        <v/>
      </c>
    </row>
    <row r="63" spans="1:29">
      <c r="B63" s="52" t="str">
        <f>[1]!ArticleCode(Art_00.23.)</f>
        <v>00.23.</v>
      </c>
      <c r="C63" s="53" t="str">
        <f>[1]!ArticleDescription(Art_00.23.)</f>
        <v>ontwerpteam - studie technieken</v>
      </c>
      <c r="D63" s="42"/>
      <c r="E63" s="42"/>
      <c r="F63" s="42"/>
      <c r="G63" s="42"/>
      <c r="H63" s="44"/>
      <c r="I63" s="44"/>
      <c r="J63" s="45"/>
      <c r="K63" s="46"/>
      <c r="L63" s="47"/>
      <c r="M63" s="42"/>
      <c r="N63" s="48"/>
      <c r="O63" s="44">
        <f t="shared" si="0"/>
        <v>0</v>
      </c>
      <c r="P63" s="49" t="str">
        <f t="shared" si="1"/>
        <v/>
      </c>
      <c r="Q63" s="50" t="str">
        <f t="shared" si="2"/>
        <v/>
      </c>
      <c r="R63" s="47"/>
      <c r="S63" s="42"/>
      <c r="T63" s="48"/>
      <c r="U63" s="44">
        <f t="shared" si="3"/>
        <v>0</v>
      </c>
      <c r="V63" s="49" t="str">
        <f t="shared" si="4"/>
        <v/>
      </c>
      <c r="W63" s="50" t="str">
        <f t="shared" si="5"/>
        <v/>
      </c>
      <c r="X63" s="47"/>
      <c r="Y63" s="42"/>
      <c r="Z63" s="48"/>
      <c r="AA63" s="44">
        <f t="shared" si="6"/>
        <v>0</v>
      </c>
      <c r="AB63" s="49" t="str">
        <f t="shared" si="7"/>
        <v/>
      </c>
      <c r="AC63" s="50" t="str">
        <f t="shared" si="8"/>
        <v/>
      </c>
    </row>
    <row r="64" spans="1:29">
      <c r="B64" s="54"/>
      <c r="C64" s="55"/>
      <c r="D64" s="56"/>
      <c r="E64" s="55"/>
      <c r="F64" s="55"/>
      <c r="G64" s="55"/>
      <c r="H64" s="57"/>
      <c r="I64" s="57"/>
      <c r="J64" s="58">
        <f>SUBTOTAL(9,I63:I63)</f>
        <v>0</v>
      </c>
      <c r="K64" s="46"/>
      <c r="L64" s="47"/>
      <c r="M64" s="42"/>
      <c r="N64" s="48"/>
      <c r="O64" s="44">
        <f t="shared" si="0"/>
        <v>0</v>
      </c>
      <c r="P64" s="49" t="str">
        <f t="shared" si="1"/>
        <v/>
      </c>
      <c r="Q64" s="50" t="str">
        <f t="shared" si="2"/>
        <v/>
      </c>
      <c r="R64" s="47"/>
      <c r="S64" s="42"/>
      <c r="T64" s="48"/>
      <c r="U64" s="44">
        <f t="shared" si="3"/>
        <v>0</v>
      </c>
      <c r="V64" s="49" t="str">
        <f t="shared" si="4"/>
        <v/>
      </c>
      <c r="W64" s="50" t="str">
        <f t="shared" si="5"/>
        <v/>
      </c>
      <c r="X64" s="47"/>
      <c r="Y64" s="42"/>
      <c r="Z64" s="48"/>
      <c r="AA64" s="44">
        <f t="shared" si="6"/>
        <v>0</v>
      </c>
      <c r="AB64" s="49" t="str">
        <f t="shared" si="7"/>
        <v/>
      </c>
      <c r="AC64" s="50" t="str">
        <f t="shared" si="8"/>
        <v/>
      </c>
    </row>
    <row r="65" spans="1:29">
      <c r="B65" s="59"/>
      <c r="C65" s="42"/>
      <c r="D65" s="42"/>
      <c r="E65" s="42"/>
      <c r="F65" s="42"/>
      <c r="G65" s="42"/>
      <c r="H65" s="44"/>
      <c r="I65" s="44"/>
      <c r="J65" s="45"/>
      <c r="K65" s="46"/>
      <c r="L65" s="47"/>
      <c r="M65" s="42"/>
      <c r="N65" s="48"/>
      <c r="O65" s="44">
        <f t="shared" si="0"/>
        <v>0</v>
      </c>
      <c r="P65" s="49" t="str">
        <f t="shared" si="1"/>
        <v/>
      </c>
      <c r="Q65" s="50" t="str">
        <f t="shared" si="2"/>
        <v/>
      </c>
      <c r="R65" s="47"/>
      <c r="S65" s="42"/>
      <c r="T65" s="48"/>
      <c r="U65" s="44">
        <f t="shared" si="3"/>
        <v>0</v>
      </c>
      <c r="V65" s="49" t="str">
        <f t="shared" si="4"/>
        <v/>
      </c>
      <c r="W65" s="50" t="str">
        <f t="shared" si="5"/>
        <v/>
      </c>
      <c r="X65" s="47"/>
      <c r="Y65" s="42"/>
      <c r="Z65" s="48"/>
      <c r="AA65" s="44">
        <f t="shared" si="6"/>
        <v>0</v>
      </c>
      <c r="AB65" s="49" t="str">
        <f t="shared" si="7"/>
        <v/>
      </c>
      <c r="AC65" s="50" t="str">
        <f t="shared" si="8"/>
        <v/>
      </c>
    </row>
    <row r="66" spans="1:29">
      <c r="B66" s="41" t="s">
        <v>114</v>
      </c>
      <c r="C66" s="42"/>
      <c r="D66" s="43"/>
      <c r="E66" s="42"/>
      <c r="F66" s="42"/>
      <c r="G66" s="42"/>
      <c r="H66" s="44"/>
      <c r="I66" s="44"/>
      <c r="J66" s="45"/>
      <c r="K66" s="46"/>
      <c r="L66" s="47"/>
      <c r="M66" s="42"/>
      <c r="N66" s="48"/>
      <c r="O66" s="44">
        <f t="shared" si="0"/>
        <v>0</v>
      </c>
      <c r="P66" s="49" t="str">
        <f t="shared" si="1"/>
        <v/>
      </c>
      <c r="Q66" s="50" t="str">
        <f t="shared" si="2"/>
        <v/>
      </c>
      <c r="R66" s="47"/>
      <c r="S66" s="42"/>
      <c r="T66" s="48"/>
      <c r="U66" s="44">
        <f t="shared" si="3"/>
        <v>0</v>
      </c>
      <c r="V66" s="49" t="str">
        <f t="shared" si="4"/>
        <v/>
      </c>
      <c r="W66" s="50" t="str">
        <f t="shared" si="5"/>
        <v/>
      </c>
      <c r="X66" s="47"/>
      <c r="Y66" s="42"/>
      <c r="Z66" s="48"/>
      <c r="AA66" s="44">
        <f t="shared" si="6"/>
        <v>0</v>
      </c>
      <c r="AB66" s="49" t="str">
        <f t="shared" si="7"/>
        <v/>
      </c>
      <c r="AC66" s="50" t="str">
        <f t="shared" si="8"/>
        <v/>
      </c>
    </row>
    <row r="67" spans="1:29">
      <c r="A67" s="51">
        <f>A59+1</f>
        <v>19</v>
      </c>
      <c r="B67" s="52" t="str">
        <f>[1]!ArticleCode(Art_01.22.)</f>
        <v>01.22.</v>
      </c>
      <c r="C67" s="53" t="str">
        <f>[1]!ArticleDescription(Art_01.22.)</f>
        <v>werfcoördinatie – werfleiding en controle</v>
      </c>
      <c r="D67" s="42" t="str">
        <f>[1]!ArticleMeasureType(Art_01.22.)</f>
        <v>PM</v>
      </c>
      <c r="E67" s="42" t="str">
        <f>[1]!ArticleMeasureUnit(Art_01.22.)</f>
        <v/>
      </c>
      <c r="F67" s="60" t="str">
        <f>[1]!ArticleQuantity(Art_01.22.)</f>
        <v/>
      </c>
      <c r="G67" s="42"/>
      <c r="H67" s="44"/>
      <c r="I67" s="44">
        <f>IF(RIGHT($D67,1)="-","************",ROUND(IF(NOT(ISNUMBER(G67)),IF(NOT(ISNUMBER(F67)),1,F67),G67)*H67,2))</f>
        <v>0</v>
      </c>
      <c r="J67" s="45"/>
      <c r="K67" s="46"/>
      <c r="L67" s="47"/>
      <c r="M67" s="42"/>
      <c r="N67" s="48"/>
      <c r="O67" s="44">
        <f t="shared" si="0"/>
        <v>0</v>
      </c>
      <c r="P67" s="49" t="str">
        <f t="shared" si="1"/>
        <v/>
      </c>
      <c r="Q67" s="50" t="str">
        <f t="shared" si="2"/>
        <v/>
      </c>
      <c r="R67" s="47"/>
      <c r="S67" s="42"/>
      <c r="T67" s="48"/>
      <c r="U67" s="44">
        <f t="shared" si="3"/>
        <v>0</v>
      </c>
      <c r="V67" s="49" t="str">
        <f t="shared" si="4"/>
        <v/>
      </c>
      <c r="W67" s="50" t="str">
        <f t="shared" si="5"/>
        <v/>
      </c>
      <c r="X67" s="47"/>
      <c r="Y67" s="42"/>
      <c r="Z67" s="48"/>
      <c r="AA67" s="44">
        <f t="shared" si="6"/>
        <v>0</v>
      </c>
      <c r="AB67" s="49" t="str">
        <f t="shared" si="7"/>
        <v/>
      </c>
      <c r="AC67" s="50" t="str">
        <f t="shared" si="8"/>
        <v/>
      </c>
    </row>
    <row r="68" spans="1:29">
      <c r="B68" s="54"/>
      <c r="C68" s="55"/>
      <c r="D68" s="56"/>
      <c r="E68" s="55"/>
      <c r="F68" s="55"/>
      <c r="G68" s="55"/>
      <c r="H68" s="57"/>
      <c r="I68" s="57"/>
      <c r="J68" s="58">
        <f>SUBTOTAL(9,I67:I67)</f>
        <v>0</v>
      </c>
      <c r="K68" s="46"/>
      <c r="L68" s="47"/>
      <c r="M68" s="42"/>
      <c r="N68" s="48"/>
      <c r="O68" s="44">
        <f t="shared" si="0"/>
        <v>0</v>
      </c>
      <c r="P68" s="49" t="str">
        <f t="shared" si="1"/>
        <v/>
      </c>
      <c r="Q68" s="50" t="str">
        <f t="shared" si="2"/>
        <v/>
      </c>
      <c r="R68" s="47"/>
      <c r="S68" s="42"/>
      <c r="T68" s="48"/>
      <c r="U68" s="44">
        <f t="shared" si="3"/>
        <v>0</v>
      </c>
      <c r="V68" s="49" t="str">
        <f t="shared" si="4"/>
        <v/>
      </c>
      <c r="W68" s="50" t="str">
        <f t="shared" si="5"/>
        <v/>
      </c>
      <c r="X68" s="47"/>
      <c r="Y68" s="42"/>
      <c r="Z68" s="48"/>
      <c r="AA68" s="44">
        <f t="shared" si="6"/>
        <v>0</v>
      </c>
      <c r="AB68" s="49" t="str">
        <f t="shared" si="7"/>
        <v/>
      </c>
      <c r="AC68" s="50" t="str">
        <f t="shared" si="8"/>
        <v/>
      </c>
    </row>
    <row r="69" spans="1:29">
      <c r="B69" s="59"/>
      <c r="C69" s="42"/>
      <c r="D69" s="42"/>
      <c r="E69" s="42"/>
      <c r="F69" s="42"/>
      <c r="G69" s="42"/>
      <c r="H69" s="44"/>
      <c r="I69" s="44"/>
      <c r="J69" s="45"/>
      <c r="K69" s="46"/>
      <c r="L69" s="47"/>
      <c r="M69" s="42"/>
      <c r="N69" s="48"/>
      <c r="O69" s="44">
        <f t="shared" si="0"/>
        <v>0</v>
      </c>
      <c r="P69" s="49" t="str">
        <f t="shared" si="1"/>
        <v/>
      </c>
      <c r="Q69" s="50" t="str">
        <f t="shared" si="2"/>
        <v/>
      </c>
      <c r="R69" s="47"/>
      <c r="S69" s="42"/>
      <c r="T69" s="48"/>
      <c r="U69" s="44">
        <f t="shared" si="3"/>
        <v>0</v>
      </c>
      <c r="V69" s="49" t="str">
        <f t="shared" si="4"/>
        <v/>
      </c>
      <c r="W69" s="50" t="str">
        <f t="shared" si="5"/>
        <v/>
      </c>
      <c r="X69" s="47"/>
      <c r="Y69" s="42"/>
      <c r="Z69" s="48"/>
      <c r="AA69" s="44">
        <f t="shared" si="6"/>
        <v>0</v>
      </c>
      <c r="AB69" s="49" t="str">
        <f t="shared" si="7"/>
        <v/>
      </c>
      <c r="AC69" s="50" t="str">
        <f t="shared" si="8"/>
        <v/>
      </c>
    </row>
    <row r="70" spans="1:29">
      <c r="B70" s="41" t="s">
        <v>115</v>
      </c>
      <c r="C70" s="42"/>
      <c r="D70" s="43"/>
      <c r="E70" s="42"/>
      <c r="F70" s="42"/>
      <c r="G70" s="42"/>
      <c r="H70" s="44"/>
      <c r="I70" s="44"/>
      <c r="J70" s="45"/>
      <c r="K70" s="46"/>
      <c r="L70" s="47"/>
      <c r="M70" s="42"/>
      <c r="N70" s="48"/>
      <c r="O70" s="44">
        <f t="shared" si="0"/>
        <v>0</v>
      </c>
      <c r="P70" s="49" t="str">
        <f t="shared" si="1"/>
        <v/>
      </c>
      <c r="Q70" s="50" t="str">
        <f t="shared" si="2"/>
        <v/>
      </c>
      <c r="R70" s="47"/>
      <c r="S70" s="42"/>
      <c r="T70" s="48"/>
      <c r="U70" s="44">
        <f t="shared" si="3"/>
        <v>0</v>
      </c>
      <c r="V70" s="49" t="str">
        <f t="shared" si="4"/>
        <v/>
      </c>
      <c r="W70" s="50" t="str">
        <f t="shared" si="5"/>
        <v/>
      </c>
      <c r="X70" s="47"/>
      <c r="Y70" s="42"/>
      <c r="Z70" s="48"/>
      <c r="AA70" s="44">
        <f t="shared" si="6"/>
        <v>0</v>
      </c>
      <c r="AB70" s="49" t="str">
        <f t="shared" si="7"/>
        <v/>
      </c>
      <c r="AC70" s="50" t="str">
        <f t="shared" si="8"/>
        <v/>
      </c>
    </row>
    <row r="71" spans="1:29">
      <c r="B71" s="52" t="str">
        <f>[1]!ArticleCode(Art_02.10.)</f>
        <v>02.10.</v>
      </c>
      <c r="C71" s="53" t="str">
        <f>[1]!ArticleDescription(Art_02.10.)</f>
        <v>beschermingswerken – algemeen</v>
      </c>
      <c r="D71" s="42"/>
      <c r="E71" s="42"/>
      <c r="F71" s="42"/>
      <c r="G71" s="42"/>
      <c r="H71" s="44"/>
      <c r="I71" s="44"/>
      <c r="J71" s="45"/>
      <c r="K71" s="46"/>
      <c r="L71" s="47"/>
      <c r="M71" s="42"/>
      <c r="N71" s="48"/>
      <c r="O71" s="44">
        <f t="shared" si="0"/>
        <v>0</v>
      </c>
      <c r="P71" s="49" t="str">
        <f t="shared" si="1"/>
        <v/>
      </c>
      <c r="Q71" s="50" t="str">
        <f t="shared" si="2"/>
        <v/>
      </c>
      <c r="R71" s="47"/>
      <c r="S71" s="42"/>
      <c r="T71" s="48"/>
      <c r="U71" s="44">
        <f t="shared" si="3"/>
        <v>0</v>
      </c>
      <c r="V71" s="49" t="str">
        <f t="shared" si="4"/>
        <v/>
      </c>
      <c r="W71" s="50" t="str">
        <f t="shared" si="5"/>
        <v/>
      </c>
      <c r="X71" s="47"/>
      <c r="Y71" s="42"/>
      <c r="Z71" s="48"/>
      <c r="AA71" s="44">
        <f t="shared" si="6"/>
        <v>0</v>
      </c>
      <c r="AB71" s="49" t="str">
        <f t="shared" si="7"/>
        <v/>
      </c>
      <c r="AC71" s="50" t="str">
        <f t="shared" si="8"/>
        <v/>
      </c>
    </row>
    <row r="72" spans="1:29">
      <c r="A72" s="51">
        <f>A67+1</f>
        <v>20</v>
      </c>
      <c r="B72" s="52" t="str">
        <f>[1]!ArticleCode(Art_02.11.)</f>
        <v>02.11.</v>
      </c>
      <c r="C72" s="53" t="str">
        <f>[1]!ArticleDescription(Art_02.11.)</f>
        <v>beschermingwerken – openbare weg</v>
      </c>
      <c r="D72" s="42" t="str">
        <f>[1]!ArticleMeasureType(Art_02.11.)</f>
        <v>PM</v>
      </c>
      <c r="E72" s="42" t="str">
        <f>[1]!ArticleMeasureUnit(Art_02.11.)</f>
        <v/>
      </c>
      <c r="F72" s="60" t="str">
        <f>[1]!ArticleQuantity(Art_02.11.)</f>
        <v/>
      </c>
      <c r="G72" s="42"/>
      <c r="H72" s="44"/>
      <c r="I72" s="44">
        <f>IF(RIGHT($D72,1)="-","************",ROUND(IF(NOT(ISNUMBER(G72)),IF(NOT(ISNUMBER(F72)),1,F72),G72)*H72,2))</f>
        <v>0</v>
      </c>
      <c r="J72" s="45"/>
      <c r="K72" s="46"/>
      <c r="L72" s="47"/>
      <c r="M72" s="42"/>
      <c r="N72" s="48"/>
      <c r="O72" s="44">
        <f t="shared" si="0"/>
        <v>0</v>
      </c>
      <c r="P72" s="49" t="str">
        <f t="shared" si="1"/>
        <v/>
      </c>
      <c r="Q72" s="50" t="str">
        <f t="shared" si="2"/>
        <v/>
      </c>
      <c r="R72" s="47"/>
      <c r="S72" s="42"/>
      <c r="T72" s="48"/>
      <c r="U72" s="44">
        <f t="shared" si="3"/>
        <v>0</v>
      </c>
      <c r="V72" s="49" t="str">
        <f t="shared" si="4"/>
        <v/>
      </c>
      <c r="W72" s="50" t="str">
        <f t="shared" si="5"/>
        <v/>
      </c>
      <c r="X72" s="47"/>
      <c r="Y72" s="42"/>
      <c r="Z72" s="48"/>
      <c r="AA72" s="44">
        <f t="shared" si="6"/>
        <v>0</v>
      </c>
      <c r="AB72" s="49" t="str">
        <f t="shared" si="7"/>
        <v/>
      </c>
      <c r="AC72" s="50" t="str">
        <f t="shared" si="8"/>
        <v/>
      </c>
    </row>
    <row r="73" spans="1:29">
      <c r="B73" s="52" t="str">
        <f>[1]!ArticleCode(Art_02.40.)</f>
        <v>02.40.</v>
      </c>
      <c r="C73" s="53" t="str">
        <f>[1]!ArticleDescription(Art_02.40.)</f>
        <v>voorlopige omheining – algemeen</v>
      </c>
      <c r="D73" s="42"/>
      <c r="E73" s="42"/>
      <c r="F73" s="42"/>
      <c r="G73" s="42"/>
      <c r="H73" s="44"/>
      <c r="I73" s="44"/>
      <c r="J73" s="45"/>
      <c r="K73" s="46"/>
      <c r="L73" s="47"/>
      <c r="M73" s="42"/>
      <c r="N73" s="48"/>
      <c r="O73" s="44">
        <f t="shared" si="0"/>
        <v>0</v>
      </c>
      <c r="P73" s="49" t="str">
        <f t="shared" si="1"/>
        <v/>
      </c>
      <c r="Q73" s="50" t="str">
        <f t="shared" si="2"/>
        <v/>
      </c>
      <c r="R73" s="47"/>
      <c r="S73" s="42"/>
      <c r="T73" s="48"/>
      <c r="U73" s="44">
        <f t="shared" si="3"/>
        <v>0</v>
      </c>
      <c r="V73" s="49" t="str">
        <f t="shared" si="4"/>
        <v/>
      </c>
      <c r="W73" s="50" t="str">
        <f t="shared" si="5"/>
        <v/>
      </c>
      <c r="X73" s="47"/>
      <c r="Y73" s="42"/>
      <c r="Z73" s="48"/>
      <c r="AA73" s="44">
        <f t="shared" si="6"/>
        <v>0</v>
      </c>
      <c r="AB73" s="49" t="str">
        <f t="shared" si="7"/>
        <v/>
      </c>
      <c r="AC73" s="50" t="str">
        <f t="shared" si="8"/>
        <v/>
      </c>
    </row>
    <row r="74" spans="1:29">
      <c r="B74" s="52" t="str">
        <f>[1]!ArticleCode(Art_02.50.)</f>
        <v>02.50.</v>
      </c>
      <c r="C74" s="53" t="str">
        <f>[1]!ArticleDescription(Art_02.50.)</f>
        <v>aankondiging werf – algemeen</v>
      </c>
      <c r="D74" s="42"/>
      <c r="E74" s="42"/>
      <c r="F74" s="42"/>
      <c r="G74" s="42"/>
      <c r="H74" s="44"/>
      <c r="I74" s="44"/>
      <c r="J74" s="45"/>
      <c r="K74" s="46"/>
      <c r="L74" s="47"/>
      <c r="M74" s="42"/>
      <c r="N74" s="48"/>
      <c r="O74" s="44">
        <f t="shared" ref="O74:O137" si="11">IF(MID($D74,3,1)="-","*********",ROUND(IF(NOT(ISNUMBER($G74)),IF(NOT(ISNUMBER($F74)),1,$F74),$G74)*(IF(NOT(ISNUMBER(N74)),L74,N74)),2))</f>
        <v>0</v>
      </c>
      <c r="P74" s="49" t="str">
        <f t="shared" ref="P74:P137" si="12">IF(O$246=0,"",O74/O$246)</f>
        <v/>
      </c>
      <c r="Q74" s="50" t="str">
        <f t="shared" ref="Q74:Q137" si="13">IF($K74=0,"",IF(NOT(ISNUMBER(N74)),L74,N74)/$K74-1)</f>
        <v/>
      </c>
      <c r="R74" s="47"/>
      <c r="S74" s="42"/>
      <c r="T74" s="48"/>
      <c r="U74" s="44">
        <f t="shared" ref="U74:U137" si="14">IF(MID($D74,3,1)="-","*********",ROUND(IF(NOT(ISNUMBER($G74)),IF(NOT(ISNUMBER($F74)),1,$F74),$G74)*(IF(NOT(ISNUMBER(T74)),R74,T74)),2))</f>
        <v>0</v>
      </c>
      <c r="V74" s="49" t="str">
        <f t="shared" ref="V74:V137" si="15">IF(U$246=0,"",U74/U$246)</f>
        <v/>
      </c>
      <c r="W74" s="50" t="str">
        <f t="shared" ref="W74:W137" si="16">IF($K74=0,"",IF(NOT(ISNUMBER(T74)),R74,T74)/$K74-1)</f>
        <v/>
      </c>
      <c r="X74" s="47"/>
      <c r="Y74" s="42"/>
      <c r="Z74" s="48"/>
      <c r="AA74" s="44">
        <f t="shared" ref="AA74:AA137" si="17">IF(MID($D74,3,1)="-","*********",ROUND(IF(NOT(ISNUMBER($G74)),IF(NOT(ISNUMBER($F74)),1,$F74),$G74)*(IF(NOT(ISNUMBER(Z74)),X74,Z74)),2))</f>
        <v>0</v>
      </c>
      <c r="AB74" s="49" t="str">
        <f t="shared" ref="AB74:AB137" si="18">IF(AA$246=0,"",AA74/AA$246)</f>
        <v/>
      </c>
      <c r="AC74" s="50" t="str">
        <f t="shared" ref="AC74:AC137" si="19">IF($K74=0,"",IF(NOT(ISNUMBER(Z74)),X74,Z74)/$K74-1)</f>
        <v/>
      </c>
    </row>
    <row r="75" spans="1:29">
      <c r="A75" s="51">
        <f>A72+1</f>
        <v>21</v>
      </c>
      <c r="B75" s="52" t="str">
        <f>[1]!ArticleCode(Art_02.52.)</f>
        <v>02.52.</v>
      </c>
      <c r="C75" s="53" t="str">
        <f>[1]!ArticleDescription(Art_02.52.)</f>
        <v>aankondiging werf - werfdoek</v>
      </c>
      <c r="D75" s="42" t="str">
        <f>[1]!ArticleMeasureType(Art_02.52.)</f>
        <v>PM</v>
      </c>
      <c r="E75" s="42" t="str">
        <f>[1]!ArticleMeasureUnit(Art_02.52.)</f>
        <v/>
      </c>
      <c r="F75" s="60" t="str">
        <f>[1]!ArticleQuantity(Art_02.52.)</f>
        <v/>
      </c>
      <c r="G75" s="42"/>
      <c r="H75" s="44"/>
      <c r="I75" s="44">
        <f>IF(RIGHT($D75,1)="-","************",ROUND(IF(NOT(ISNUMBER(G75)),IF(NOT(ISNUMBER(F75)),1,F75),G75)*H75,2))</f>
        <v>0</v>
      </c>
      <c r="J75" s="45"/>
      <c r="K75" s="46"/>
      <c r="L75" s="47"/>
      <c r="M75" s="42"/>
      <c r="N75" s="48"/>
      <c r="O75" s="44">
        <f t="shared" si="11"/>
        <v>0</v>
      </c>
      <c r="P75" s="49" t="str">
        <f t="shared" si="12"/>
        <v/>
      </c>
      <c r="Q75" s="50" t="str">
        <f t="shared" si="13"/>
        <v/>
      </c>
      <c r="R75" s="47"/>
      <c r="S75" s="42"/>
      <c r="T75" s="48"/>
      <c r="U75" s="44">
        <f t="shared" si="14"/>
        <v>0</v>
      </c>
      <c r="V75" s="49" t="str">
        <f t="shared" si="15"/>
        <v/>
      </c>
      <c r="W75" s="50" t="str">
        <f t="shared" si="16"/>
        <v/>
      </c>
      <c r="X75" s="47"/>
      <c r="Y75" s="42"/>
      <c r="Z75" s="48"/>
      <c r="AA75" s="44">
        <f t="shared" si="17"/>
        <v>0</v>
      </c>
      <c r="AB75" s="49" t="str">
        <f t="shared" si="18"/>
        <v/>
      </c>
      <c r="AC75" s="50" t="str">
        <f t="shared" si="19"/>
        <v/>
      </c>
    </row>
    <row r="76" spans="1:29">
      <c r="A76" s="51">
        <f>A75+1</f>
        <v>22</v>
      </c>
      <c r="B76" s="52" t="str">
        <f>[1]!ArticleCode(Art_02.82.)</f>
        <v>02.82.</v>
      </c>
      <c r="C76" s="53" t="str">
        <f>[1]!ArticleDescription(Art_02.82.)</f>
        <v>arbeidsmiddelen – hijsen en heffen van lasten</v>
      </c>
      <c r="D76" s="42" t="str">
        <f>[1]!ArticleMeasureType(Art_02.82.)</f>
        <v>PM</v>
      </c>
      <c r="E76" s="42" t="str">
        <f>[1]!ArticleMeasureUnit(Art_02.82.)</f>
        <v/>
      </c>
      <c r="F76" s="60" t="str">
        <f>[1]!ArticleQuantity(Art_02.82.)</f>
        <v/>
      </c>
      <c r="G76" s="42"/>
      <c r="H76" s="44"/>
      <c r="I76" s="44">
        <f>IF(RIGHT($D76,1)="-","************",ROUND(IF(NOT(ISNUMBER(G76)),IF(NOT(ISNUMBER(F76)),1,F76),G76)*H76,2))</f>
        <v>0</v>
      </c>
      <c r="J76" s="45"/>
      <c r="K76" s="46"/>
      <c r="L76" s="47"/>
      <c r="M76" s="42"/>
      <c r="N76" s="48"/>
      <c r="O76" s="44">
        <f t="shared" si="11"/>
        <v>0</v>
      </c>
      <c r="P76" s="49" t="str">
        <f t="shared" si="12"/>
        <v/>
      </c>
      <c r="Q76" s="50" t="str">
        <f t="shared" si="13"/>
        <v/>
      </c>
      <c r="R76" s="47"/>
      <c r="S76" s="42"/>
      <c r="T76" s="48"/>
      <c r="U76" s="44">
        <f t="shared" si="14"/>
        <v>0</v>
      </c>
      <c r="V76" s="49" t="str">
        <f t="shared" si="15"/>
        <v/>
      </c>
      <c r="W76" s="50" t="str">
        <f t="shared" si="16"/>
        <v/>
      </c>
      <c r="X76" s="47"/>
      <c r="Y76" s="42"/>
      <c r="Z76" s="48"/>
      <c r="AA76" s="44">
        <f t="shared" si="17"/>
        <v>0</v>
      </c>
      <c r="AB76" s="49" t="str">
        <f t="shared" si="18"/>
        <v/>
      </c>
      <c r="AC76" s="50" t="str">
        <f t="shared" si="19"/>
        <v/>
      </c>
    </row>
    <row r="77" spans="1:29">
      <c r="B77" s="54"/>
      <c r="C77" s="55"/>
      <c r="D77" s="56"/>
      <c r="E77" s="55"/>
      <c r="F77" s="55"/>
      <c r="G77" s="55"/>
      <c r="H77" s="57"/>
      <c r="I77" s="57"/>
      <c r="J77" s="58">
        <f>SUBTOTAL(9,I71:I76)</f>
        <v>0</v>
      </c>
      <c r="K77" s="46"/>
      <c r="L77" s="47"/>
      <c r="M77" s="42"/>
      <c r="N77" s="48"/>
      <c r="O77" s="44">
        <f t="shared" si="11"/>
        <v>0</v>
      </c>
      <c r="P77" s="49" t="str">
        <f t="shared" si="12"/>
        <v/>
      </c>
      <c r="Q77" s="50" t="str">
        <f t="shared" si="13"/>
        <v/>
      </c>
      <c r="R77" s="47"/>
      <c r="S77" s="42"/>
      <c r="T77" s="48"/>
      <c r="U77" s="44">
        <f t="shared" si="14"/>
        <v>0</v>
      </c>
      <c r="V77" s="49" t="str">
        <f t="shared" si="15"/>
        <v/>
      </c>
      <c r="W77" s="50" t="str">
        <f t="shared" si="16"/>
        <v/>
      </c>
      <c r="X77" s="47"/>
      <c r="Y77" s="42"/>
      <c r="Z77" s="48"/>
      <c r="AA77" s="44">
        <f t="shared" si="17"/>
        <v>0</v>
      </c>
      <c r="AB77" s="49" t="str">
        <f t="shared" si="18"/>
        <v/>
      </c>
      <c r="AC77" s="50" t="str">
        <f t="shared" si="19"/>
        <v/>
      </c>
    </row>
    <row r="78" spans="1:29">
      <c r="B78" s="59"/>
      <c r="C78" s="42"/>
      <c r="D78" s="42"/>
      <c r="E78" s="42"/>
      <c r="F78" s="42"/>
      <c r="G78" s="42"/>
      <c r="H78" s="44"/>
      <c r="I78" s="44"/>
      <c r="J78" s="45"/>
      <c r="K78" s="46"/>
      <c r="L78" s="47"/>
      <c r="M78" s="42"/>
      <c r="N78" s="48"/>
      <c r="O78" s="44">
        <f t="shared" si="11"/>
        <v>0</v>
      </c>
      <c r="P78" s="49" t="str">
        <f t="shared" si="12"/>
        <v/>
      </c>
      <c r="Q78" s="50" t="str">
        <f t="shared" si="13"/>
        <v/>
      </c>
      <c r="R78" s="47"/>
      <c r="S78" s="42"/>
      <c r="T78" s="48"/>
      <c r="U78" s="44">
        <f t="shared" si="14"/>
        <v>0</v>
      </c>
      <c r="V78" s="49" t="str">
        <f t="shared" si="15"/>
        <v/>
      </c>
      <c r="W78" s="50" t="str">
        <f t="shared" si="16"/>
        <v/>
      </c>
      <c r="X78" s="47"/>
      <c r="Y78" s="42"/>
      <c r="Z78" s="48"/>
      <c r="AA78" s="44">
        <f t="shared" si="17"/>
        <v>0</v>
      </c>
      <c r="AB78" s="49" t="str">
        <f t="shared" si="18"/>
        <v/>
      </c>
      <c r="AC78" s="50" t="str">
        <f t="shared" si="19"/>
        <v/>
      </c>
    </row>
    <row r="79" spans="1:29">
      <c r="B79" s="41" t="s">
        <v>388</v>
      </c>
      <c r="C79" s="42"/>
      <c r="D79" s="43"/>
      <c r="E79" s="42"/>
      <c r="F79" s="42"/>
      <c r="G79" s="42"/>
      <c r="H79" s="44"/>
      <c r="I79" s="44"/>
      <c r="J79" s="45"/>
      <c r="K79" s="46"/>
      <c r="L79" s="47"/>
      <c r="M79" s="42"/>
      <c r="N79" s="48"/>
      <c r="O79" s="44">
        <f t="shared" si="11"/>
        <v>0</v>
      </c>
      <c r="P79" s="49" t="str">
        <f t="shared" si="12"/>
        <v/>
      </c>
      <c r="Q79" s="50" t="str">
        <f t="shared" si="13"/>
        <v/>
      </c>
      <c r="R79" s="47"/>
      <c r="S79" s="42"/>
      <c r="T79" s="48"/>
      <c r="U79" s="44">
        <f t="shared" si="14"/>
        <v>0</v>
      </c>
      <c r="V79" s="49" t="str">
        <f t="shared" si="15"/>
        <v/>
      </c>
      <c r="W79" s="50" t="str">
        <f t="shared" si="16"/>
        <v/>
      </c>
      <c r="X79" s="47"/>
      <c r="Y79" s="42"/>
      <c r="Z79" s="48"/>
      <c r="AA79" s="44">
        <f t="shared" si="17"/>
        <v>0</v>
      </c>
      <c r="AB79" s="49" t="str">
        <f t="shared" si="18"/>
        <v/>
      </c>
      <c r="AC79" s="50" t="str">
        <f t="shared" si="19"/>
        <v/>
      </c>
    </row>
    <row r="80" spans="1:29">
      <c r="B80" s="52" t="str">
        <f>[1]!ArticleCode(Art_03.)</f>
        <v>03.</v>
      </c>
      <c r="C80" s="53" t="str">
        <f>[1]!ArticleDescription(Art_03.)</f>
        <v>AFBRAAKWERKEN</v>
      </c>
      <c r="D80" s="42"/>
      <c r="E80" s="42"/>
      <c r="F80" s="42"/>
      <c r="G80" s="42"/>
      <c r="H80" s="44"/>
      <c r="I80" s="44"/>
      <c r="J80" s="45"/>
      <c r="K80" s="46"/>
      <c r="L80" s="47"/>
      <c r="M80" s="42"/>
      <c r="N80" s="48"/>
      <c r="O80" s="44">
        <f t="shared" si="11"/>
        <v>0</v>
      </c>
      <c r="P80" s="49" t="str">
        <f t="shared" si="12"/>
        <v/>
      </c>
      <c r="Q80" s="50" t="str">
        <f t="shared" si="13"/>
        <v/>
      </c>
      <c r="R80" s="47"/>
      <c r="S80" s="42"/>
      <c r="T80" s="48"/>
      <c r="U80" s="44">
        <f t="shared" si="14"/>
        <v>0</v>
      </c>
      <c r="V80" s="49" t="str">
        <f t="shared" si="15"/>
        <v/>
      </c>
      <c r="W80" s="50" t="str">
        <f t="shared" si="16"/>
        <v/>
      </c>
      <c r="X80" s="47"/>
      <c r="Y80" s="42"/>
      <c r="Z80" s="48"/>
      <c r="AA80" s="44">
        <f t="shared" si="17"/>
        <v>0</v>
      </c>
      <c r="AB80" s="49" t="str">
        <f t="shared" si="18"/>
        <v/>
      </c>
      <c r="AC80" s="50" t="str">
        <f t="shared" si="19"/>
        <v/>
      </c>
    </row>
    <row r="81" spans="1:29">
      <c r="B81" s="52" t="str">
        <f>[1]!ArticleCode(Art_03.00.)</f>
        <v>03.00.</v>
      </c>
      <c r="C81" s="53" t="str">
        <f>[1]!ArticleDescription(Art_03.00.)</f>
        <v>afbraakwerken – algemeen</v>
      </c>
      <c r="D81" s="42"/>
      <c r="E81" s="42"/>
      <c r="F81" s="42"/>
      <c r="G81" s="42"/>
      <c r="H81" s="44"/>
      <c r="I81" s="44"/>
      <c r="J81" s="45"/>
      <c r="K81" s="46"/>
      <c r="L81" s="47"/>
      <c r="M81" s="42"/>
      <c r="N81" s="48"/>
      <c r="O81" s="44">
        <f t="shared" si="11"/>
        <v>0</v>
      </c>
      <c r="P81" s="49" t="str">
        <f t="shared" si="12"/>
        <v/>
      </c>
      <c r="Q81" s="50" t="str">
        <f t="shared" si="13"/>
        <v/>
      </c>
      <c r="R81" s="47"/>
      <c r="S81" s="42"/>
      <c r="T81" s="48"/>
      <c r="U81" s="44">
        <f t="shared" si="14"/>
        <v>0</v>
      </c>
      <c r="V81" s="49" t="str">
        <f t="shared" si="15"/>
        <v/>
      </c>
      <c r="W81" s="50" t="str">
        <f t="shared" si="16"/>
        <v/>
      </c>
      <c r="X81" s="47"/>
      <c r="Y81" s="42"/>
      <c r="Z81" s="48"/>
      <c r="AA81" s="44">
        <f t="shared" si="17"/>
        <v>0</v>
      </c>
      <c r="AB81" s="49" t="str">
        <f t="shared" si="18"/>
        <v/>
      </c>
      <c r="AC81" s="50" t="str">
        <f t="shared" si="19"/>
        <v/>
      </c>
    </row>
    <row r="82" spans="1:29">
      <c r="B82" s="52" t="str">
        <f>[1]!ArticleCode(Art_03.01.)</f>
        <v>03.01.</v>
      </c>
      <c r="C82" s="53" t="str">
        <f>[1]!ArticleDescription(Art_03.01.)</f>
        <v>afbraakwerken – asbestverwijdering</v>
      </c>
      <c r="D82" s="42"/>
      <c r="E82" s="42"/>
      <c r="F82" s="42"/>
      <c r="G82" s="42"/>
      <c r="H82" s="44"/>
      <c r="I82" s="44"/>
      <c r="J82" s="45"/>
      <c r="K82" s="46"/>
      <c r="L82" s="47"/>
      <c r="M82" s="42"/>
      <c r="N82" s="48"/>
      <c r="O82" s="44">
        <f t="shared" si="11"/>
        <v>0</v>
      </c>
      <c r="P82" s="49" t="str">
        <f t="shared" si="12"/>
        <v/>
      </c>
      <c r="Q82" s="50" t="str">
        <f t="shared" si="13"/>
        <v/>
      </c>
      <c r="R82" s="47"/>
      <c r="S82" s="42"/>
      <c r="T82" s="48"/>
      <c r="U82" s="44">
        <f t="shared" si="14"/>
        <v>0</v>
      </c>
      <c r="V82" s="49" t="str">
        <f t="shared" si="15"/>
        <v/>
      </c>
      <c r="W82" s="50" t="str">
        <f t="shared" si="16"/>
        <v/>
      </c>
      <c r="X82" s="47"/>
      <c r="Y82" s="42"/>
      <c r="Z82" s="48"/>
      <c r="AA82" s="44">
        <f t="shared" si="17"/>
        <v>0</v>
      </c>
      <c r="AB82" s="49" t="str">
        <f t="shared" si="18"/>
        <v/>
      </c>
      <c r="AC82" s="50" t="str">
        <f t="shared" si="19"/>
        <v/>
      </c>
    </row>
    <row r="83" spans="1:29">
      <c r="B83" s="52" t="str">
        <f>[1]!ArticleCode(Art_03.02.)</f>
        <v>03.02.</v>
      </c>
      <c r="C83" s="53" t="str">
        <f>[1]!ArticleDescription(Art_03.02.)</f>
        <v>afbraakwerken – schoring</v>
      </c>
      <c r="D83" s="42"/>
      <c r="E83" s="42"/>
      <c r="F83" s="42"/>
      <c r="G83" s="42"/>
      <c r="H83" s="44"/>
      <c r="I83" s="44"/>
      <c r="J83" s="45"/>
      <c r="K83" s="46"/>
      <c r="L83" s="47"/>
      <c r="M83" s="42"/>
      <c r="N83" s="48"/>
      <c r="O83" s="44">
        <f t="shared" si="11"/>
        <v>0</v>
      </c>
      <c r="P83" s="49" t="str">
        <f t="shared" si="12"/>
        <v/>
      </c>
      <c r="Q83" s="50" t="str">
        <f t="shared" si="13"/>
        <v/>
      </c>
      <c r="R83" s="47"/>
      <c r="S83" s="42"/>
      <c r="T83" s="48"/>
      <c r="U83" s="44">
        <f t="shared" si="14"/>
        <v>0</v>
      </c>
      <c r="V83" s="49" t="str">
        <f t="shared" si="15"/>
        <v/>
      </c>
      <c r="W83" s="50" t="str">
        <f t="shared" si="16"/>
        <v/>
      </c>
      <c r="X83" s="47"/>
      <c r="Y83" s="42"/>
      <c r="Z83" s="48"/>
      <c r="AA83" s="44">
        <f t="shared" si="17"/>
        <v>0</v>
      </c>
      <c r="AB83" s="49" t="str">
        <f t="shared" si="18"/>
        <v/>
      </c>
      <c r="AC83" s="50" t="str">
        <f t="shared" si="19"/>
        <v/>
      </c>
    </row>
    <row r="84" spans="1:29">
      <c r="B84" s="52" t="str">
        <f>[1]!ArticleCode(Art_03.03.)</f>
        <v>03.03.</v>
      </c>
      <c r="C84" s="53" t="str">
        <f>[1]!ArticleDescription(Art_03.03.)</f>
        <v>afbraakwerken – in gebruik zijnde gebouwen</v>
      </c>
      <c r="D84" s="42"/>
      <c r="E84" s="42"/>
      <c r="F84" s="42"/>
      <c r="G84" s="42"/>
      <c r="H84" s="44"/>
      <c r="I84" s="44"/>
      <c r="J84" s="45"/>
      <c r="K84" s="46"/>
      <c r="L84" s="47"/>
      <c r="M84" s="42"/>
      <c r="N84" s="48"/>
      <c r="O84" s="44">
        <f t="shared" si="11"/>
        <v>0</v>
      </c>
      <c r="P84" s="49" t="str">
        <f t="shared" si="12"/>
        <v/>
      </c>
      <c r="Q84" s="50" t="str">
        <f t="shared" si="13"/>
        <v/>
      </c>
      <c r="R84" s="47"/>
      <c r="S84" s="42"/>
      <c r="T84" s="48"/>
      <c r="U84" s="44">
        <f t="shared" si="14"/>
        <v>0</v>
      </c>
      <c r="V84" s="49" t="str">
        <f t="shared" si="15"/>
        <v/>
      </c>
      <c r="W84" s="50" t="str">
        <f t="shared" si="16"/>
        <v/>
      </c>
      <c r="X84" s="47"/>
      <c r="Y84" s="42"/>
      <c r="Z84" s="48"/>
      <c r="AA84" s="44">
        <f t="shared" si="17"/>
        <v>0</v>
      </c>
      <c r="AB84" s="49" t="str">
        <f t="shared" si="18"/>
        <v/>
      </c>
      <c r="AC84" s="50" t="str">
        <f t="shared" si="19"/>
        <v/>
      </c>
    </row>
    <row r="85" spans="1:29">
      <c r="B85" s="52" t="str">
        <f>[1]!ArticleCode(Art_03.10.)</f>
        <v>03.10.</v>
      </c>
      <c r="C85" s="53" t="str">
        <f>[1]!ArticleDescription(Art_03.10.)</f>
        <v>afbraak volledige constructie – algemeen</v>
      </c>
      <c r="D85" s="42"/>
      <c r="E85" s="42"/>
      <c r="F85" s="42"/>
      <c r="G85" s="42"/>
      <c r="H85" s="44"/>
      <c r="I85" s="44"/>
      <c r="J85" s="45"/>
      <c r="K85" s="46"/>
      <c r="L85" s="47"/>
      <c r="M85" s="42"/>
      <c r="N85" s="48"/>
      <c r="O85" s="44">
        <f t="shared" si="11"/>
        <v>0</v>
      </c>
      <c r="P85" s="49" t="str">
        <f t="shared" si="12"/>
        <v/>
      </c>
      <c r="Q85" s="50" t="str">
        <f t="shared" si="13"/>
        <v/>
      </c>
      <c r="R85" s="47"/>
      <c r="S85" s="42"/>
      <c r="T85" s="48"/>
      <c r="U85" s="44">
        <f t="shared" si="14"/>
        <v>0</v>
      </c>
      <c r="V85" s="49" t="str">
        <f t="shared" si="15"/>
        <v/>
      </c>
      <c r="W85" s="50" t="str">
        <f t="shared" si="16"/>
        <v/>
      </c>
      <c r="X85" s="47"/>
      <c r="Y85" s="42"/>
      <c r="Z85" s="48"/>
      <c r="AA85" s="44">
        <f t="shared" si="17"/>
        <v>0</v>
      </c>
      <c r="AB85" s="49" t="str">
        <f t="shared" si="18"/>
        <v/>
      </c>
      <c r="AC85" s="50" t="str">
        <f t="shared" si="19"/>
        <v/>
      </c>
    </row>
    <row r="86" spans="1:29">
      <c r="B86" s="52" t="str">
        <f>[1]!ArticleCode(Art_03.11.)</f>
        <v>03.11.</v>
      </c>
      <c r="C86" s="53" t="str">
        <f>[1]!ArticleDescription(Art_03.11.)</f>
        <v>afbraak volledige constructie – vrijstaand</v>
      </c>
      <c r="D86" s="42"/>
      <c r="E86" s="42"/>
      <c r="F86" s="42"/>
      <c r="G86" s="42"/>
      <c r="H86" s="44"/>
      <c r="I86" s="44"/>
      <c r="J86" s="45"/>
      <c r="K86" s="46"/>
      <c r="L86" s="47"/>
      <c r="M86" s="42"/>
      <c r="N86" s="48"/>
      <c r="O86" s="44">
        <f t="shared" si="11"/>
        <v>0</v>
      </c>
      <c r="P86" s="49" t="str">
        <f t="shared" si="12"/>
        <v/>
      </c>
      <c r="Q86" s="50" t="str">
        <f t="shared" si="13"/>
        <v/>
      </c>
      <c r="R86" s="47"/>
      <c r="S86" s="42"/>
      <c r="T86" s="48"/>
      <c r="U86" s="44">
        <f t="shared" si="14"/>
        <v>0</v>
      </c>
      <c r="V86" s="49" t="str">
        <f t="shared" si="15"/>
        <v/>
      </c>
      <c r="W86" s="50" t="str">
        <f t="shared" si="16"/>
        <v/>
      </c>
      <c r="X86" s="47"/>
      <c r="Y86" s="42"/>
      <c r="Z86" s="48"/>
      <c r="AA86" s="44">
        <f t="shared" si="17"/>
        <v>0</v>
      </c>
      <c r="AB86" s="49" t="str">
        <f t="shared" si="18"/>
        <v/>
      </c>
      <c r="AC86" s="50" t="str">
        <f t="shared" si="19"/>
        <v/>
      </c>
    </row>
    <row r="87" spans="1:29">
      <c r="A87" s="51">
        <f>A76+1</f>
        <v>23</v>
      </c>
      <c r="B87" s="52" t="str">
        <f>[1]!ArticleCode(Art_03.11.20.)</f>
        <v>03.11.20.</v>
      </c>
      <c r="C87" s="53" t="str">
        <f>[1]!ArticleDescription(Art_03.11.20.)</f>
        <v>afbraak volledige constructie – vrijstaand/slopen gebouw (woning vooraan) APARTE AANBESTEDING</v>
      </c>
      <c r="D87" s="42" t="str">
        <f>[1]!ArticleMeasureType(Art_03.11.20.)</f>
        <v>SOG</v>
      </c>
      <c r="E87" s="42" t="str">
        <f>[1]!ArticleMeasureUnit(Art_03.11.20.)</f>
        <v/>
      </c>
      <c r="F87" s="60" t="str">
        <f>[1]!ArticleQuantity(Art_03.11.20.)</f>
        <v/>
      </c>
      <c r="G87" s="42"/>
      <c r="H87" s="44"/>
      <c r="I87" s="44">
        <f>IF(RIGHT($D87,1)="-","************",ROUND(IF(NOT(ISNUMBER(G87)),IF(NOT(ISNUMBER(F87)),1,F87),G87)*H87,2))</f>
        <v>0</v>
      </c>
      <c r="J87" s="45"/>
      <c r="K87" s="46"/>
      <c r="L87" s="47"/>
      <c r="M87" s="42"/>
      <c r="N87" s="48"/>
      <c r="O87" s="44">
        <f t="shared" si="11"/>
        <v>0</v>
      </c>
      <c r="P87" s="49" t="str">
        <f t="shared" si="12"/>
        <v/>
      </c>
      <c r="Q87" s="50" t="str">
        <f t="shared" si="13"/>
        <v/>
      </c>
      <c r="R87" s="47"/>
      <c r="S87" s="42"/>
      <c r="T87" s="48"/>
      <c r="U87" s="44">
        <f t="shared" si="14"/>
        <v>0</v>
      </c>
      <c r="V87" s="49" t="str">
        <f t="shared" si="15"/>
        <v/>
      </c>
      <c r="W87" s="50" t="str">
        <f t="shared" si="16"/>
        <v/>
      </c>
      <c r="X87" s="47"/>
      <c r="Y87" s="42"/>
      <c r="Z87" s="48"/>
      <c r="AA87" s="44">
        <f t="shared" si="17"/>
        <v>0</v>
      </c>
      <c r="AB87" s="49" t="str">
        <f t="shared" si="18"/>
        <v/>
      </c>
      <c r="AC87" s="50" t="str">
        <f t="shared" si="19"/>
        <v/>
      </c>
    </row>
    <row r="88" spans="1:29">
      <c r="A88" s="51">
        <f>A87+1</f>
        <v>24</v>
      </c>
      <c r="B88" s="52" t="str">
        <f>[1]!ArticleCode(Art_03.11.40.)</f>
        <v>03.11.40.</v>
      </c>
      <c r="C88" s="53" t="str">
        <f>[1]!ArticleDescription(Art_03.11.40.)</f>
        <v>afbraak volledige constructie – vrijstaand/te behouden gevels</v>
      </c>
      <c r="D88" s="42" t="str">
        <f>[1]!ArticleMeasureType(Art_03.11.40.)</f>
        <v>PM</v>
      </c>
      <c r="E88" s="42" t="str">
        <f>[1]!ArticleMeasureUnit(Art_03.11.40.)</f>
        <v/>
      </c>
      <c r="F88" s="60" t="str">
        <f>[1]!ArticleQuantity(Art_03.11.40.)</f>
        <v/>
      </c>
      <c r="G88" s="42"/>
      <c r="H88" s="44"/>
      <c r="I88" s="44">
        <f>IF(RIGHT($D88,1)="-","************",ROUND(IF(NOT(ISNUMBER(G88)),IF(NOT(ISNUMBER(F88)),1,F88),G88)*H88,2))</f>
        <v>0</v>
      </c>
      <c r="J88" s="45"/>
      <c r="K88" s="46"/>
      <c r="L88" s="47"/>
      <c r="M88" s="42"/>
      <c r="N88" s="48"/>
      <c r="O88" s="44">
        <f t="shared" si="11"/>
        <v>0</v>
      </c>
      <c r="P88" s="49" t="str">
        <f t="shared" si="12"/>
        <v/>
      </c>
      <c r="Q88" s="50" t="str">
        <f t="shared" si="13"/>
        <v/>
      </c>
      <c r="R88" s="47"/>
      <c r="S88" s="42"/>
      <c r="T88" s="48"/>
      <c r="U88" s="44">
        <f t="shared" si="14"/>
        <v>0</v>
      </c>
      <c r="V88" s="49" t="str">
        <f t="shared" si="15"/>
        <v/>
      </c>
      <c r="W88" s="50" t="str">
        <f t="shared" si="16"/>
        <v/>
      </c>
      <c r="X88" s="47"/>
      <c r="Y88" s="42"/>
      <c r="Z88" s="48"/>
      <c r="AA88" s="44">
        <f t="shared" si="17"/>
        <v>0</v>
      </c>
      <c r="AB88" s="49" t="str">
        <f t="shared" si="18"/>
        <v/>
      </c>
      <c r="AC88" s="50" t="str">
        <f t="shared" si="19"/>
        <v/>
      </c>
    </row>
    <row r="89" spans="1:29">
      <c r="B89" s="52" t="str">
        <f>[1]!ArticleCode(Art_03.20.)</f>
        <v>03.20.</v>
      </c>
      <c r="C89" s="53" t="str">
        <f>[1]!ArticleDescription(Art_03.20.)</f>
        <v>afbraak ruwbouwelementen - algemeen</v>
      </c>
      <c r="D89" s="42"/>
      <c r="E89" s="42"/>
      <c r="F89" s="42"/>
      <c r="G89" s="42"/>
      <c r="H89" s="44"/>
      <c r="I89" s="44"/>
      <c r="J89" s="45"/>
      <c r="K89" s="46"/>
      <c r="L89" s="47"/>
      <c r="M89" s="42"/>
      <c r="N89" s="48"/>
      <c r="O89" s="44">
        <f t="shared" si="11"/>
        <v>0</v>
      </c>
      <c r="P89" s="49" t="str">
        <f t="shared" si="12"/>
        <v/>
      </c>
      <c r="Q89" s="50" t="str">
        <f t="shared" si="13"/>
        <v/>
      </c>
      <c r="R89" s="47"/>
      <c r="S89" s="42"/>
      <c r="T89" s="48"/>
      <c r="U89" s="44">
        <f t="shared" si="14"/>
        <v>0</v>
      </c>
      <c r="V89" s="49" t="str">
        <f t="shared" si="15"/>
        <v/>
      </c>
      <c r="W89" s="50" t="str">
        <f t="shared" si="16"/>
        <v/>
      </c>
      <c r="X89" s="47"/>
      <c r="Y89" s="42"/>
      <c r="Z89" s="48"/>
      <c r="AA89" s="44">
        <f t="shared" si="17"/>
        <v>0</v>
      </c>
      <c r="AB89" s="49" t="str">
        <f t="shared" si="18"/>
        <v/>
      </c>
      <c r="AC89" s="50" t="str">
        <f t="shared" si="19"/>
        <v/>
      </c>
    </row>
    <row r="90" spans="1:29">
      <c r="B90" s="52" t="str">
        <f>[1]!ArticleCode(Art_03.21.)</f>
        <v>03.21.</v>
      </c>
      <c r="C90" s="53" t="str">
        <f>[1]!ArticleDescription(Art_03.21.)</f>
        <v>afbraak ruwbouwelementen – muren</v>
      </c>
      <c r="D90" s="42"/>
      <c r="E90" s="42"/>
      <c r="F90" s="42"/>
      <c r="G90" s="42"/>
      <c r="H90" s="44"/>
      <c r="I90" s="44"/>
      <c r="J90" s="45"/>
      <c r="K90" s="46"/>
      <c r="L90" s="47"/>
      <c r="M90" s="42"/>
      <c r="N90" s="48"/>
      <c r="O90" s="44">
        <f t="shared" si="11"/>
        <v>0</v>
      </c>
      <c r="P90" s="49" t="str">
        <f t="shared" si="12"/>
        <v/>
      </c>
      <c r="Q90" s="50" t="str">
        <f t="shared" si="13"/>
        <v/>
      </c>
      <c r="R90" s="47"/>
      <c r="S90" s="42"/>
      <c r="T90" s="48"/>
      <c r="U90" s="44">
        <f t="shared" si="14"/>
        <v>0</v>
      </c>
      <c r="V90" s="49" t="str">
        <f t="shared" si="15"/>
        <v/>
      </c>
      <c r="W90" s="50" t="str">
        <f t="shared" si="16"/>
        <v/>
      </c>
      <c r="X90" s="47"/>
      <c r="Y90" s="42"/>
      <c r="Z90" s="48"/>
      <c r="AA90" s="44">
        <f t="shared" si="17"/>
        <v>0</v>
      </c>
      <c r="AB90" s="49" t="str">
        <f t="shared" si="18"/>
        <v/>
      </c>
      <c r="AC90" s="50" t="str">
        <f t="shared" si="19"/>
        <v/>
      </c>
    </row>
    <row r="91" spans="1:29">
      <c r="A91" s="51">
        <f>A88+1</f>
        <v>25</v>
      </c>
      <c r="B91" s="52" t="str">
        <f>[1]!ArticleCode(Art_03.21.10.)</f>
        <v>03.21.10.</v>
      </c>
      <c r="C91" s="53" t="str">
        <f>[1]!ArticleDescription(Art_03.21.10.)</f>
        <v>afbraak ruwbouwelementen – muren/metselwerk</v>
      </c>
      <c r="D91" s="42" t="str">
        <f>[1]!ArticleMeasureType(Art_03.21.10.)</f>
        <v>FH</v>
      </c>
      <c r="E91" s="42" t="str">
        <f>[1]!ArticleMeasureUnit(Art_03.21.10.)</f>
        <v>m3</v>
      </c>
      <c r="F91" s="122">
        <f>[1]!ArticleQuantity(Art_03.21.10.)</f>
        <v>4.8929999999999998</v>
      </c>
      <c r="G91" s="42"/>
      <c r="H91" s="44"/>
      <c r="I91" s="44">
        <f>IF(RIGHT($D91,1)="-","************",ROUND(IF(NOT(ISNUMBER(G91)),IF(NOT(ISNUMBER(F91)),1,F91),G91)*H91,2))</f>
        <v>0</v>
      </c>
      <c r="J91" s="45"/>
      <c r="K91" s="46"/>
      <c r="L91" s="47"/>
      <c r="M91" s="42"/>
      <c r="N91" s="48"/>
      <c r="O91" s="44">
        <f t="shared" si="11"/>
        <v>0</v>
      </c>
      <c r="P91" s="49" t="str">
        <f t="shared" si="12"/>
        <v/>
      </c>
      <c r="Q91" s="50" t="str">
        <f t="shared" si="13"/>
        <v/>
      </c>
      <c r="R91" s="47"/>
      <c r="S91" s="42"/>
      <c r="T91" s="48"/>
      <c r="U91" s="44">
        <f t="shared" si="14"/>
        <v>0</v>
      </c>
      <c r="V91" s="49" t="str">
        <f t="shared" si="15"/>
        <v/>
      </c>
      <c r="W91" s="50" t="str">
        <f t="shared" si="16"/>
        <v/>
      </c>
      <c r="X91" s="47"/>
      <c r="Y91" s="42"/>
      <c r="Z91" s="48"/>
      <c r="AA91" s="44">
        <f t="shared" si="17"/>
        <v>0</v>
      </c>
      <c r="AB91" s="49" t="str">
        <f t="shared" si="18"/>
        <v/>
      </c>
      <c r="AC91" s="50" t="str">
        <f t="shared" si="19"/>
        <v/>
      </c>
    </row>
    <row r="92" spans="1:29">
      <c r="A92" s="51">
        <f>A91+1</f>
        <v>26</v>
      </c>
      <c r="B92" s="52" t="str">
        <f>[1]!ArticleCode(Art_03.21.30.)</f>
        <v>03.21.30.</v>
      </c>
      <c r="C92" s="53" t="str">
        <f>[1]!ArticleDescription(Art_03.21.30.)</f>
        <v>afbraak ruwbouwelementen – muren/houtskelet (enkel afvoer, afbraak bouwteam)</v>
      </c>
      <c r="D92" s="42" t="str">
        <f>[1]!ArticleMeasureType(Art_03.21.30.)</f>
        <v>FH</v>
      </c>
      <c r="E92" s="42" t="str">
        <f>[1]!ArticleMeasureUnit(Art_03.21.30.)</f>
        <v>m2</v>
      </c>
      <c r="F92" s="122">
        <f>[1]!ArticleQuantity(Art_03.21.30.)</f>
        <v>7.5</v>
      </c>
      <c r="G92" s="42"/>
      <c r="H92" s="44"/>
      <c r="I92" s="44">
        <f>IF(RIGHT($D92,1)="-","************",ROUND(IF(NOT(ISNUMBER(G92)),IF(NOT(ISNUMBER(F92)),1,F92),G92)*H92,2))</f>
        <v>0</v>
      </c>
      <c r="J92" s="45"/>
      <c r="K92" s="46"/>
      <c r="L92" s="47"/>
      <c r="M92" s="42"/>
      <c r="N92" s="48"/>
      <c r="O92" s="44">
        <f t="shared" si="11"/>
        <v>0</v>
      </c>
      <c r="P92" s="49" t="str">
        <f t="shared" si="12"/>
        <v/>
      </c>
      <c r="Q92" s="50" t="str">
        <f t="shared" si="13"/>
        <v/>
      </c>
      <c r="R92" s="47"/>
      <c r="S92" s="42"/>
      <c r="T92" s="48"/>
      <c r="U92" s="44">
        <f t="shared" si="14"/>
        <v>0</v>
      </c>
      <c r="V92" s="49" t="str">
        <f t="shared" si="15"/>
        <v/>
      </c>
      <c r="W92" s="50" t="str">
        <f t="shared" si="16"/>
        <v/>
      </c>
      <c r="X92" s="47"/>
      <c r="Y92" s="42"/>
      <c r="Z92" s="48"/>
      <c r="AA92" s="44">
        <f t="shared" si="17"/>
        <v>0</v>
      </c>
      <c r="AB92" s="49" t="str">
        <f t="shared" si="18"/>
        <v/>
      </c>
      <c r="AC92" s="50" t="str">
        <f t="shared" si="19"/>
        <v/>
      </c>
    </row>
    <row r="93" spans="1:29">
      <c r="B93" s="52" t="str">
        <f>[1]!ArticleCode(Art_03.22.)</f>
        <v>03.22.</v>
      </c>
      <c r="C93" s="53" t="str">
        <f>[1]!ArticleDescription(Art_03.22.)</f>
        <v>afbraak ruwbouwelementen – vloeren</v>
      </c>
      <c r="D93" s="42"/>
      <c r="E93" s="42"/>
      <c r="F93" s="42"/>
      <c r="G93" s="42"/>
      <c r="H93" s="44"/>
      <c r="I93" s="44"/>
      <c r="J93" s="45"/>
      <c r="K93" s="46"/>
      <c r="L93" s="47"/>
      <c r="M93" s="42"/>
      <c r="N93" s="48"/>
      <c r="O93" s="44">
        <f t="shared" si="11"/>
        <v>0</v>
      </c>
      <c r="P93" s="49" t="str">
        <f t="shared" si="12"/>
        <v/>
      </c>
      <c r="Q93" s="50" t="str">
        <f t="shared" si="13"/>
        <v/>
      </c>
      <c r="R93" s="47"/>
      <c r="S93" s="42"/>
      <c r="T93" s="48"/>
      <c r="U93" s="44">
        <f t="shared" si="14"/>
        <v>0</v>
      </c>
      <c r="V93" s="49" t="str">
        <f t="shared" si="15"/>
        <v/>
      </c>
      <c r="W93" s="50" t="str">
        <f t="shared" si="16"/>
        <v/>
      </c>
      <c r="X93" s="47"/>
      <c r="Y93" s="42"/>
      <c r="Z93" s="48"/>
      <c r="AA93" s="44">
        <f t="shared" si="17"/>
        <v>0</v>
      </c>
      <c r="AB93" s="49" t="str">
        <f t="shared" si="18"/>
        <v/>
      </c>
      <c r="AC93" s="50" t="str">
        <f t="shared" si="19"/>
        <v/>
      </c>
    </row>
    <row r="94" spans="1:29">
      <c r="B94" s="52" t="str">
        <f>[1]!ArticleCode(Art_03.22.20.)</f>
        <v>03.22.20.</v>
      </c>
      <c r="C94" s="53" t="str">
        <f>[1]!ArticleDescription(Art_03.22.20.)</f>
        <v>afbraak ruwbouwelementen – vloeren/tegels in gestabiliseerd zand (enkel afvoer, afbraak bouwteam)</v>
      </c>
      <c r="D94" s="42"/>
      <c r="E94" s="42"/>
      <c r="F94" s="42"/>
      <c r="G94" s="42"/>
      <c r="H94" s="44"/>
      <c r="I94" s="44"/>
      <c r="J94" s="45"/>
      <c r="K94" s="46"/>
      <c r="L94" s="47"/>
      <c r="M94" s="42"/>
      <c r="N94" s="48"/>
      <c r="O94" s="44">
        <f t="shared" si="11"/>
        <v>0</v>
      </c>
      <c r="P94" s="49" t="str">
        <f t="shared" si="12"/>
        <v/>
      </c>
      <c r="Q94" s="50" t="str">
        <f t="shared" si="13"/>
        <v/>
      </c>
      <c r="R94" s="47"/>
      <c r="S94" s="42"/>
      <c r="T94" s="48"/>
      <c r="U94" s="44">
        <f t="shared" si="14"/>
        <v>0</v>
      </c>
      <c r="V94" s="49" t="str">
        <f t="shared" si="15"/>
        <v/>
      </c>
      <c r="W94" s="50" t="str">
        <f t="shared" si="16"/>
        <v/>
      </c>
      <c r="X94" s="47"/>
      <c r="Y94" s="42"/>
      <c r="Z94" s="48"/>
      <c r="AA94" s="44">
        <f t="shared" si="17"/>
        <v>0</v>
      </c>
      <c r="AB94" s="49" t="str">
        <f t="shared" si="18"/>
        <v/>
      </c>
      <c r="AC94" s="50" t="str">
        <f t="shared" si="19"/>
        <v/>
      </c>
    </row>
    <row r="95" spans="1:29">
      <c r="A95" s="51">
        <f>A92+1</f>
        <v>27</v>
      </c>
      <c r="B95" s="52" t="str">
        <f>[1]!ArticleCode(Art_03.22.22.)</f>
        <v>03.22.22.</v>
      </c>
      <c r="C95" s="53" t="str">
        <f>[1]!ArticleDescription(Art_03.22.22.)</f>
        <v>afbraak ruwbouwelementen – vloeren/tegels in gestabiliseerd zand– vloer op volle grond  (enkel afvoer, afbraak bouwteam)</v>
      </c>
      <c r="D95" s="42" t="str">
        <f>[1]!ArticleMeasureType(Art_03.22.22.)</f>
        <v>FH</v>
      </c>
      <c r="E95" s="42" t="str">
        <f>[1]!ArticleMeasureUnit(Art_03.22.22.)</f>
        <v>m2</v>
      </c>
      <c r="F95" s="61">
        <f>[1]!ArticleQuantity(Art_03.22.22.)</f>
        <v>219.56</v>
      </c>
      <c r="G95" s="42"/>
      <c r="H95" s="44"/>
      <c r="I95" s="44">
        <f>IF(RIGHT($D95,1)="-","************",ROUND(IF(NOT(ISNUMBER(G95)),IF(NOT(ISNUMBER(F95)),1,F95),G95)*H95,2))</f>
        <v>0</v>
      </c>
      <c r="J95" s="45"/>
      <c r="K95" s="46"/>
      <c r="L95" s="47"/>
      <c r="M95" s="42"/>
      <c r="N95" s="48"/>
      <c r="O95" s="44">
        <f t="shared" si="11"/>
        <v>0</v>
      </c>
      <c r="P95" s="49" t="str">
        <f t="shared" si="12"/>
        <v/>
      </c>
      <c r="Q95" s="50" t="str">
        <f t="shared" si="13"/>
        <v/>
      </c>
      <c r="R95" s="47"/>
      <c r="S95" s="42"/>
      <c r="T95" s="48"/>
      <c r="U95" s="44">
        <f t="shared" si="14"/>
        <v>0</v>
      </c>
      <c r="V95" s="49" t="str">
        <f t="shared" si="15"/>
        <v/>
      </c>
      <c r="W95" s="50" t="str">
        <f t="shared" si="16"/>
        <v/>
      </c>
      <c r="X95" s="47"/>
      <c r="Y95" s="42"/>
      <c r="Z95" s="48"/>
      <c r="AA95" s="44">
        <f t="shared" si="17"/>
        <v>0</v>
      </c>
      <c r="AB95" s="49" t="str">
        <f t="shared" si="18"/>
        <v/>
      </c>
      <c r="AC95" s="50" t="str">
        <f t="shared" si="19"/>
        <v/>
      </c>
    </row>
    <row r="96" spans="1:29">
      <c r="A96" s="51">
        <f>A95+1</f>
        <v>28</v>
      </c>
      <c r="B96" s="52" t="str">
        <f>[1]!ArticleCode(Art_03.22.30.)</f>
        <v>03.22.30.</v>
      </c>
      <c r="C96" s="53" t="str">
        <f>[1]!ArticleDescription(Art_03.22.30.)</f>
        <v>afbraak ruwbouwelementen – vloeren/houten roostering (enkel afvoer, afbraak bouwteam)</v>
      </c>
      <c r="D96" s="42" t="str">
        <f>[1]!ArticleMeasureType(Art_03.22.30.)</f>
        <v>FH</v>
      </c>
      <c r="E96" s="42" t="str">
        <f>[1]!ArticleMeasureUnit(Art_03.22.30.)</f>
        <v>m2</v>
      </c>
      <c r="F96" s="61">
        <f>[1]!ArticleQuantity(Art_03.22.30.)</f>
        <v>93</v>
      </c>
      <c r="G96" s="42"/>
      <c r="H96" s="44"/>
      <c r="I96" s="44">
        <f>IF(RIGHT($D96,1)="-","************",ROUND(IF(NOT(ISNUMBER(G96)),IF(NOT(ISNUMBER(F96)),1,F96),G96)*H96,2))</f>
        <v>0</v>
      </c>
      <c r="J96" s="45"/>
      <c r="K96" s="46"/>
      <c r="L96" s="47"/>
      <c r="M96" s="42"/>
      <c r="N96" s="48"/>
      <c r="O96" s="44">
        <f t="shared" si="11"/>
        <v>0</v>
      </c>
      <c r="P96" s="49" t="str">
        <f t="shared" si="12"/>
        <v/>
      </c>
      <c r="Q96" s="50" t="str">
        <f t="shared" si="13"/>
        <v/>
      </c>
      <c r="R96" s="47"/>
      <c r="S96" s="42"/>
      <c r="T96" s="48"/>
      <c r="U96" s="44">
        <f t="shared" si="14"/>
        <v>0</v>
      </c>
      <c r="V96" s="49" t="str">
        <f t="shared" si="15"/>
        <v/>
      </c>
      <c r="W96" s="50" t="str">
        <f t="shared" si="16"/>
        <v/>
      </c>
      <c r="X96" s="47"/>
      <c r="Y96" s="42"/>
      <c r="Z96" s="48"/>
      <c r="AA96" s="44">
        <f t="shared" si="17"/>
        <v>0</v>
      </c>
      <c r="AB96" s="49" t="str">
        <f t="shared" si="18"/>
        <v/>
      </c>
      <c r="AC96" s="50" t="str">
        <f t="shared" si="19"/>
        <v/>
      </c>
    </row>
    <row r="97" spans="1:29">
      <c r="B97" s="52" t="str">
        <f>[1]!ArticleCode(Art_03.40.)</f>
        <v>03.40.</v>
      </c>
      <c r="C97" s="53" t="str">
        <f>[1]!ArticleDescription(Art_03.40.)</f>
        <v>afbraak gevelelementen – algemeen</v>
      </c>
      <c r="D97" s="42"/>
      <c r="E97" s="42"/>
      <c r="F97" s="42"/>
      <c r="G97" s="42"/>
      <c r="H97" s="44"/>
      <c r="I97" s="44"/>
      <c r="J97" s="45"/>
      <c r="K97" s="46"/>
      <c r="L97" s="47"/>
      <c r="M97" s="42"/>
      <c r="N97" s="48"/>
      <c r="O97" s="44">
        <f t="shared" si="11"/>
        <v>0</v>
      </c>
      <c r="P97" s="49" t="str">
        <f t="shared" si="12"/>
        <v/>
      </c>
      <c r="Q97" s="50" t="str">
        <f t="shared" si="13"/>
        <v/>
      </c>
      <c r="R97" s="47"/>
      <c r="S97" s="42"/>
      <c r="T97" s="48"/>
      <c r="U97" s="44">
        <f t="shared" si="14"/>
        <v>0</v>
      </c>
      <c r="V97" s="49" t="str">
        <f t="shared" si="15"/>
        <v/>
      </c>
      <c r="W97" s="50" t="str">
        <f t="shared" si="16"/>
        <v/>
      </c>
      <c r="X97" s="47"/>
      <c r="Y97" s="42"/>
      <c r="Z97" s="48"/>
      <c r="AA97" s="44">
        <f t="shared" si="17"/>
        <v>0</v>
      </c>
      <c r="AB97" s="49" t="str">
        <f t="shared" si="18"/>
        <v/>
      </c>
      <c r="AC97" s="50" t="str">
        <f t="shared" si="19"/>
        <v/>
      </c>
    </row>
    <row r="98" spans="1:29">
      <c r="A98" s="51">
        <f>A96+1</f>
        <v>29</v>
      </c>
      <c r="B98" s="52" t="str">
        <f>[1]!ArticleCode(Art_03.41.)</f>
        <v>03.41.</v>
      </c>
      <c r="C98" s="53" t="str">
        <f>[1]!ArticleDescription(Art_03.41.)</f>
        <v>afbraak gevelelementen – gevelmetselwerk (enkel afvoer, afbraak bouwteam)</v>
      </c>
      <c r="D98" s="42" t="str">
        <f>[1]!ArticleMeasureType(Art_03.41.)</f>
        <v>FH</v>
      </c>
      <c r="E98" s="42" t="str">
        <f>[1]!ArticleMeasureUnit(Art_03.41.)</f>
        <v>m2</v>
      </c>
      <c r="F98" s="61">
        <f>[1]!ArticleQuantity(Art_03.41.)</f>
        <v>3.52</v>
      </c>
      <c r="G98" s="42"/>
      <c r="H98" s="44"/>
      <c r="I98" s="44">
        <f>IF(RIGHT($D98,1)="-","************",ROUND(IF(NOT(ISNUMBER(G98)),IF(NOT(ISNUMBER(F98)),1,F98),G98)*H98,2))</f>
        <v>0</v>
      </c>
      <c r="J98" s="45"/>
      <c r="K98" s="46"/>
      <c r="L98" s="47"/>
      <c r="M98" s="42"/>
      <c r="N98" s="48"/>
      <c r="O98" s="44">
        <f t="shared" si="11"/>
        <v>0</v>
      </c>
      <c r="P98" s="49" t="str">
        <f t="shared" si="12"/>
        <v/>
      </c>
      <c r="Q98" s="50" t="str">
        <f t="shared" si="13"/>
        <v/>
      </c>
      <c r="R98" s="47"/>
      <c r="S98" s="42"/>
      <c r="T98" s="48"/>
      <c r="U98" s="44">
        <f t="shared" si="14"/>
        <v>0</v>
      </c>
      <c r="V98" s="49" t="str">
        <f t="shared" si="15"/>
        <v/>
      </c>
      <c r="W98" s="50" t="str">
        <f t="shared" si="16"/>
        <v/>
      </c>
      <c r="X98" s="47"/>
      <c r="Y98" s="42"/>
      <c r="Z98" s="48"/>
      <c r="AA98" s="44">
        <f t="shared" si="17"/>
        <v>0</v>
      </c>
      <c r="AB98" s="49" t="str">
        <f t="shared" si="18"/>
        <v/>
      </c>
      <c r="AC98" s="50" t="str">
        <f t="shared" si="19"/>
        <v/>
      </c>
    </row>
    <row r="99" spans="1:29">
      <c r="B99" s="52" t="str">
        <f>[1]!ArticleCode(Art_03.50.)</f>
        <v>03.50.</v>
      </c>
      <c r="C99" s="53" t="str">
        <f>[1]!ArticleDescription(Art_03.50.)</f>
        <v>afbraak binnenafwerking - algemeen</v>
      </c>
      <c r="D99" s="42"/>
      <c r="E99" s="42"/>
      <c r="F99" s="42"/>
      <c r="G99" s="42"/>
      <c r="H99" s="44"/>
      <c r="I99" s="44"/>
      <c r="J99" s="45"/>
      <c r="K99" s="46"/>
      <c r="L99" s="47"/>
      <c r="M99" s="42"/>
      <c r="N99" s="48"/>
      <c r="O99" s="44">
        <f t="shared" si="11"/>
        <v>0</v>
      </c>
      <c r="P99" s="49" t="str">
        <f t="shared" si="12"/>
        <v/>
      </c>
      <c r="Q99" s="50" t="str">
        <f t="shared" si="13"/>
        <v/>
      </c>
      <c r="R99" s="47"/>
      <c r="S99" s="42"/>
      <c r="T99" s="48"/>
      <c r="U99" s="44">
        <f t="shared" si="14"/>
        <v>0</v>
      </c>
      <c r="V99" s="49" t="str">
        <f t="shared" si="15"/>
        <v/>
      </c>
      <c r="W99" s="50" t="str">
        <f t="shared" si="16"/>
        <v/>
      </c>
      <c r="X99" s="47"/>
      <c r="Y99" s="42"/>
      <c r="Z99" s="48"/>
      <c r="AA99" s="44">
        <f t="shared" si="17"/>
        <v>0</v>
      </c>
      <c r="AB99" s="49" t="str">
        <f t="shared" si="18"/>
        <v/>
      </c>
      <c r="AC99" s="50" t="str">
        <f t="shared" si="19"/>
        <v/>
      </c>
    </row>
    <row r="100" spans="1:29">
      <c r="A100" s="51">
        <f>A98+1</f>
        <v>30</v>
      </c>
      <c r="B100" s="52" t="str">
        <f>[1]!ArticleCode(Art_03.51.)</f>
        <v>03.51.</v>
      </c>
      <c r="C100" s="53" t="str">
        <f>[1]!ArticleDescription(Art_03.51.)</f>
        <v>afbraak binnenafwerking – volledige ontmanteling</v>
      </c>
      <c r="D100" s="42" t="str">
        <f>[1]!ArticleMeasureType(Art_03.51.)</f>
        <v>PM</v>
      </c>
      <c r="E100" s="42" t="str">
        <f>[1]!ArticleMeasureUnit(Art_03.51.)</f>
        <v/>
      </c>
      <c r="F100" s="60" t="str">
        <f>[1]!ArticleQuantity(Art_03.51.)</f>
        <v/>
      </c>
      <c r="G100" s="42"/>
      <c r="H100" s="44"/>
      <c r="I100" s="44">
        <f>IF(RIGHT($D100,1)="-","************",ROUND(IF(NOT(ISNUMBER(G100)),IF(NOT(ISNUMBER(F100)),1,F100),G100)*H100,2))</f>
        <v>0</v>
      </c>
      <c r="J100" s="45"/>
      <c r="K100" s="46"/>
      <c r="L100" s="47"/>
      <c r="M100" s="42"/>
      <c r="N100" s="48"/>
      <c r="O100" s="44">
        <f t="shared" si="11"/>
        <v>0</v>
      </c>
      <c r="P100" s="49" t="str">
        <f t="shared" si="12"/>
        <v/>
      </c>
      <c r="Q100" s="50" t="str">
        <f t="shared" si="13"/>
        <v/>
      </c>
      <c r="R100" s="47"/>
      <c r="S100" s="42"/>
      <c r="T100" s="48"/>
      <c r="U100" s="44">
        <f t="shared" si="14"/>
        <v>0</v>
      </c>
      <c r="V100" s="49" t="str">
        <f t="shared" si="15"/>
        <v/>
      </c>
      <c r="W100" s="50" t="str">
        <f t="shared" si="16"/>
        <v/>
      </c>
      <c r="X100" s="47"/>
      <c r="Y100" s="42"/>
      <c r="Z100" s="48"/>
      <c r="AA100" s="44">
        <f t="shared" si="17"/>
        <v>0</v>
      </c>
      <c r="AB100" s="49" t="str">
        <f t="shared" si="18"/>
        <v/>
      </c>
      <c r="AC100" s="50" t="str">
        <f t="shared" si="19"/>
        <v/>
      </c>
    </row>
    <row r="101" spans="1:29">
      <c r="B101" s="52" t="str">
        <f>[1]!ArticleCode(Art_03.53.)</f>
        <v>03.53.</v>
      </c>
      <c r="C101" s="53" t="str">
        <f>[1]!ArticleDescription(Art_03.53.)</f>
        <v>afbraak binnenafwerking - plaatafwerking</v>
      </c>
      <c r="D101" s="42"/>
      <c r="E101" s="42"/>
      <c r="F101" s="42"/>
      <c r="G101" s="42"/>
      <c r="H101" s="44"/>
      <c r="I101" s="44"/>
      <c r="J101" s="45"/>
      <c r="K101" s="46"/>
      <c r="L101" s="47"/>
      <c r="M101" s="42"/>
      <c r="N101" s="48"/>
      <c r="O101" s="44">
        <f t="shared" si="11"/>
        <v>0</v>
      </c>
      <c r="P101" s="49" t="str">
        <f t="shared" si="12"/>
        <v/>
      </c>
      <c r="Q101" s="50" t="str">
        <f t="shared" si="13"/>
        <v/>
      </c>
      <c r="R101" s="47"/>
      <c r="S101" s="42"/>
      <c r="T101" s="48"/>
      <c r="U101" s="44">
        <f t="shared" si="14"/>
        <v>0</v>
      </c>
      <c r="V101" s="49" t="str">
        <f t="shared" si="15"/>
        <v/>
      </c>
      <c r="W101" s="50" t="str">
        <f t="shared" si="16"/>
        <v/>
      </c>
      <c r="X101" s="47"/>
      <c r="Y101" s="42"/>
      <c r="Z101" s="48"/>
      <c r="AA101" s="44">
        <f t="shared" si="17"/>
        <v>0</v>
      </c>
      <c r="AB101" s="49" t="str">
        <f t="shared" si="18"/>
        <v/>
      </c>
      <c r="AC101" s="50" t="str">
        <f t="shared" si="19"/>
        <v/>
      </c>
    </row>
    <row r="102" spans="1:29">
      <c r="A102" s="51">
        <f>A100+1</f>
        <v>31</v>
      </c>
      <c r="B102" s="52" t="str">
        <f>[1]!ArticleCode(Art_03.53.10.)</f>
        <v>03.53.10.</v>
      </c>
      <c r="C102" s="53" t="str">
        <f>[1]!ArticleDescription(Art_03.53.10.)</f>
        <v>afbraak binnenafwerking – plaatafwerking/asbestverwijdering vensterbanken</v>
      </c>
      <c r="D102" s="42" t="str">
        <f>[1]!ArticleMeasureType(Art_03.53.10.)</f>
        <v>FH</v>
      </c>
      <c r="E102" s="42" t="str">
        <f>[1]!ArticleMeasureUnit(Art_03.53.10.)</f>
        <v>m</v>
      </c>
      <c r="F102" s="61">
        <f>[1]!ArticleQuantity(Art_03.53.10.)</f>
        <v>4.8</v>
      </c>
      <c r="G102" s="42"/>
      <c r="H102" s="44"/>
      <c r="I102" s="44">
        <f>IF(RIGHT($D102,1)="-","************",ROUND(IF(NOT(ISNUMBER(G102)),IF(NOT(ISNUMBER(F102)),1,F102),G102)*H102,2))</f>
        <v>0</v>
      </c>
      <c r="J102" s="45"/>
      <c r="K102" s="46"/>
      <c r="L102" s="47"/>
      <c r="M102" s="42"/>
      <c r="N102" s="48"/>
      <c r="O102" s="44">
        <f t="shared" si="11"/>
        <v>0</v>
      </c>
      <c r="P102" s="49" t="str">
        <f t="shared" si="12"/>
        <v/>
      </c>
      <c r="Q102" s="50" t="str">
        <f t="shared" si="13"/>
        <v/>
      </c>
      <c r="R102" s="47"/>
      <c r="S102" s="42"/>
      <c r="T102" s="48"/>
      <c r="U102" s="44">
        <f t="shared" si="14"/>
        <v>0</v>
      </c>
      <c r="V102" s="49" t="str">
        <f t="shared" si="15"/>
        <v/>
      </c>
      <c r="W102" s="50" t="str">
        <f t="shared" si="16"/>
        <v/>
      </c>
      <c r="X102" s="47"/>
      <c r="Y102" s="42"/>
      <c r="Z102" s="48"/>
      <c r="AA102" s="44">
        <f t="shared" si="17"/>
        <v>0</v>
      </c>
      <c r="AB102" s="49" t="str">
        <f t="shared" si="18"/>
        <v/>
      </c>
      <c r="AC102" s="50" t="str">
        <f t="shared" si="19"/>
        <v/>
      </c>
    </row>
    <row r="103" spans="1:29">
      <c r="B103" s="52" t="str">
        <f>[1]!ArticleCode(Art_03.60.)</f>
        <v>03.60.</v>
      </c>
      <c r="C103" s="53" t="str">
        <f>[1]!ArticleDescription(Art_03.60.)</f>
        <v>afbraak technieken fluïda - algemeen</v>
      </c>
      <c r="D103" s="42"/>
      <c r="E103" s="42"/>
      <c r="F103" s="42"/>
      <c r="G103" s="42"/>
      <c r="H103" s="44"/>
      <c r="I103" s="44"/>
      <c r="J103" s="45"/>
      <c r="K103" s="46"/>
      <c r="L103" s="47"/>
      <c r="M103" s="42"/>
      <c r="N103" s="48"/>
      <c r="O103" s="44">
        <f t="shared" si="11"/>
        <v>0</v>
      </c>
      <c r="P103" s="49" t="str">
        <f t="shared" si="12"/>
        <v/>
      </c>
      <c r="Q103" s="50" t="str">
        <f t="shared" si="13"/>
        <v/>
      </c>
      <c r="R103" s="47"/>
      <c r="S103" s="42"/>
      <c r="T103" s="48"/>
      <c r="U103" s="44">
        <f t="shared" si="14"/>
        <v>0</v>
      </c>
      <c r="V103" s="49" t="str">
        <f t="shared" si="15"/>
        <v/>
      </c>
      <c r="W103" s="50" t="str">
        <f t="shared" si="16"/>
        <v/>
      </c>
      <c r="X103" s="47"/>
      <c r="Y103" s="42"/>
      <c r="Z103" s="48"/>
      <c r="AA103" s="44">
        <f t="shared" si="17"/>
        <v>0</v>
      </c>
      <c r="AB103" s="49" t="str">
        <f t="shared" si="18"/>
        <v/>
      </c>
      <c r="AC103" s="50" t="str">
        <f t="shared" si="19"/>
        <v/>
      </c>
    </row>
    <row r="104" spans="1:29">
      <c r="B104" s="52" t="str">
        <f>[1]!ArticleCode(Art_03.61.)</f>
        <v>03.61.</v>
      </c>
      <c r="C104" s="53" t="str">
        <f>[1]!ArticleDescription(Art_03.61.)</f>
        <v>afbraak technieken fluïda – leidingen</v>
      </c>
      <c r="D104" s="42"/>
      <c r="E104" s="42"/>
      <c r="F104" s="42"/>
      <c r="G104" s="42"/>
      <c r="H104" s="44"/>
      <c r="I104" s="44"/>
      <c r="J104" s="45"/>
      <c r="K104" s="46"/>
      <c r="L104" s="47"/>
      <c r="M104" s="42"/>
      <c r="N104" s="48"/>
      <c r="O104" s="44">
        <f t="shared" si="11"/>
        <v>0</v>
      </c>
      <c r="P104" s="49" t="str">
        <f t="shared" si="12"/>
        <v/>
      </c>
      <c r="Q104" s="50" t="str">
        <f t="shared" si="13"/>
        <v/>
      </c>
      <c r="R104" s="47"/>
      <c r="S104" s="42"/>
      <c r="T104" s="48"/>
      <c r="U104" s="44">
        <f t="shared" si="14"/>
        <v>0</v>
      </c>
      <c r="V104" s="49" t="str">
        <f t="shared" si="15"/>
        <v/>
      </c>
      <c r="W104" s="50" t="str">
        <f t="shared" si="16"/>
        <v/>
      </c>
      <c r="X104" s="47"/>
      <c r="Y104" s="42"/>
      <c r="Z104" s="48"/>
      <c r="AA104" s="44">
        <f t="shared" si="17"/>
        <v>0</v>
      </c>
      <c r="AB104" s="49" t="str">
        <f t="shared" si="18"/>
        <v/>
      </c>
      <c r="AC104" s="50" t="str">
        <f t="shared" si="19"/>
        <v/>
      </c>
    </row>
    <row r="105" spans="1:29">
      <c r="A105" s="51">
        <f>A102+1</f>
        <v>32</v>
      </c>
      <c r="B105" s="52" t="str">
        <f>[1]!ArticleCode(Art_03.61.20.)</f>
        <v>03.61.20.</v>
      </c>
      <c r="C105" s="53" t="str">
        <f>[1]!ArticleDescription(Art_03.61.20.)</f>
        <v>afbraak technieken fluïda – leidingen/toevoer en afvoerleidingen</v>
      </c>
      <c r="D105" s="42" t="str">
        <f>[1]!ArticleMeasureType(Art_03.61.20.)</f>
        <v>PM</v>
      </c>
      <c r="E105" s="42" t="str">
        <f>[1]!ArticleMeasureUnit(Art_03.61.20.)</f>
        <v/>
      </c>
      <c r="F105" s="60" t="str">
        <f>[1]!ArticleQuantity(Art_03.61.20.)</f>
        <v/>
      </c>
      <c r="G105" s="42"/>
      <c r="H105" s="44"/>
      <c r="I105" s="44">
        <f>IF(RIGHT($D105,1)="-","************",ROUND(IF(NOT(ISNUMBER(G105)),IF(NOT(ISNUMBER(F105)),1,F105),G105)*H105,2))</f>
        <v>0</v>
      </c>
      <c r="J105" s="45"/>
      <c r="K105" s="46"/>
      <c r="L105" s="47"/>
      <c r="M105" s="42"/>
      <c r="N105" s="48"/>
      <c r="O105" s="44">
        <f t="shared" si="11"/>
        <v>0</v>
      </c>
      <c r="P105" s="49" t="str">
        <f t="shared" si="12"/>
        <v/>
      </c>
      <c r="Q105" s="50" t="str">
        <f t="shared" si="13"/>
        <v/>
      </c>
      <c r="R105" s="47"/>
      <c r="S105" s="42"/>
      <c r="T105" s="48"/>
      <c r="U105" s="44">
        <f t="shared" si="14"/>
        <v>0</v>
      </c>
      <c r="V105" s="49" t="str">
        <f t="shared" si="15"/>
        <v/>
      </c>
      <c r="W105" s="50" t="str">
        <f t="shared" si="16"/>
        <v/>
      </c>
      <c r="X105" s="47"/>
      <c r="Y105" s="42"/>
      <c r="Z105" s="48"/>
      <c r="AA105" s="44">
        <f t="shared" si="17"/>
        <v>0</v>
      </c>
      <c r="AB105" s="49" t="str">
        <f t="shared" si="18"/>
        <v/>
      </c>
      <c r="AC105" s="50" t="str">
        <f t="shared" si="19"/>
        <v/>
      </c>
    </row>
    <row r="106" spans="1:29">
      <c r="B106" s="52" t="str">
        <f>[1]!ArticleCode(Art_03.70.)</f>
        <v>03.70.</v>
      </c>
      <c r="C106" s="53" t="str">
        <f>[1]!ArticleDescription(Art_03.70.)</f>
        <v>afbraak technieken elektro - algemeen</v>
      </c>
      <c r="D106" s="42"/>
      <c r="E106" s="42"/>
      <c r="F106" s="42"/>
      <c r="G106" s="42"/>
      <c r="H106" s="44"/>
      <c r="I106" s="44"/>
      <c r="J106" s="45"/>
      <c r="K106" s="46"/>
      <c r="L106" s="47"/>
      <c r="M106" s="42"/>
      <c r="N106" s="48"/>
      <c r="O106" s="44">
        <f t="shared" si="11"/>
        <v>0</v>
      </c>
      <c r="P106" s="49" t="str">
        <f t="shared" si="12"/>
        <v/>
      </c>
      <c r="Q106" s="50" t="str">
        <f t="shared" si="13"/>
        <v/>
      </c>
      <c r="R106" s="47"/>
      <c r="S106" s="42"/>
      <c r="T106" s="48"/>
      <c r="U106" s="44">
        <f t="shared" si="14"/>
        <v>0</v>
      </c>
      <c r="V106" s="49" t="str">
        <f t="shared" si="15"/>
        <v/>
      </c>
      <c r="W106" s="50" t="str">
        <f t="shared" si="16"/>
        <v/>
      </c>
      <c r="X106" s="47"/>
      <c r="Y106" s="42"/>
      <c r="Z106" s="48"/>
      <c r="AA106" s="44">
        <f t="shared" si="17"/>
        <v>0</v>
      </c>
      <c r="AB106" s="49" t="str">
        <f t="shared" si="18"/>
        <v/>
      </c>
      <c r="AC106" s="50" t="str">
        <f t="shared" si="19"/>
        <v/>
      </c>
    </row>
    <row r="107" spans="1:29">
      <c r="A107" s="51">
        <f>A105+1</f>
        <v>33</v>
      </c>
      <c r="B107" s="52" t="str">
        <f>[1]!ArticleCode(Art_03.71.)</f>
        <v>03.71.</v>
      </c>
      <c r="C107" s="53" t="str">
        <f>[1]!ArticleDescription(Art_03.71.)</f>
        <v>afbraak technieken elektro - leidingnet</v>
      </c>
      <c r="D107" s="42" t="str">
        <f>[1]!ArticleMeasureType(Art_03.71.)</f>
        <v>PM</v>
      </c>
      <c r="E107" s="42" t="str">
        <f>[1]!ArticleMeasureUnit(Art_03.71.)</f>
        <v/>
      </c>
      <c r="F107" s="60" t="str">
        <f>[1]!ArticleQuantity(Art_03.71.)</f>
        <v/>
      </c>
      <c r="G107" s="42"/>
      <c r="H107" s="44"/>
      <c r="I107" s="44">
        <f>IF(RIGHT($D107,1)="-","************",ROUND(IF(NOT(ISNUMBER(G107)),IF(NOT(ISNUMBER(F107)),1,F107),G107)*H107,2))</f>
        <v>0</v>
      </c>
      <c r="J107" s="45"/>
      <c r="K107" s="46"/>
      <c r="L107" s="47"/>
      <c r="M107" s="42"/>
      <c r="N107" s="48"/>
      <c r="O107" s="44">
        <f t="shared" si="11"/>
        <v>0</v>
      </c>
      <c r="P107" s="49" t="str">
        <f t="shared" si="12"/>
        <v/>
      </c>
      <c r="Q107" s="50" t="str">
        <f t="shared" si="13"/>
        <v/>
      </c>
      <c r="R107" s="47"/>
      <c r="S107" s="42"/>
      <c r="T107" s="48"/>
      <c r="U107" s="44">
        <f t="shared" si="14"/>
        <v>0</v>
      </c>
      <c r="V107" s="49" t="str">
        <f t="shared" si="15"/>
        <v/>
      </c>
      <c r="W107" s="50" t="str">
        <f t="shared" si="16"/>
        <v/>
      </c>
      <c r="X107" s="47"/>
      <c r="Y107" s="42"/>
      <c r="Z107" s="48"/>
      <c r="AA107" s="44">
        <f t="shared" si="17"/>
        <v>0</v>
      </c>
      <c r="AB107" s="49" t="str">
        <f t="shared" si="18"/>
        <v/>
      </c>
      <c r="AC107" s="50" t="str">
        <f t="shared" si="19"/>
        <v/>
      </c>
    </row>
    <row r="108" spans="1:29">
      <c r="B108" s="54"/>
      <c r="C108" s="55"/>
      <c r="D108" s="56"/>
      <c r="E108" s="55"/>
      <c r="F108" s="55"/>
      <c r="G108" s="55"/>
      <c r="H108" s="57"/>
      <c r="I108" s="57"/>
      <c r="J108" s="58">
        <f>SUBTOTAL(9,I80:I107)</f>
        <v>0</v>
      </c>
      <c r="K108" s="46"/>
      <c r="L108" s="47"/>
      <c r="M108" s="42"/>
      <c r="N108" s="48"/>
      <c r="O108" s="44">
        <f t="shared" si="11"/>
        <v>0</v>
      </c>
      <c r="P108" s="49" t="str">
        <f t="shared" si="12"/>
        <v/>
      </c>
      <c r="Q108" s="50" t="str">
        <f t="shared" si="13"/>
        <v/>
      </c>
      <c r="R108" s="47"/>
      <c r="S108" s="42"/>
      <c r="T108" s="48"/>
      <c r="U108" s="44">
        <f t="shared" si="14"/>
        <v>0</v>
      </c>
      <c r="V108" s="49" t="str">
        <f t="shared" si="15"/>
        <v/>
      </c>
      <c r="W108" s="50" t="str">
        <f t="shared" si="16"/>
        <v/>
      </c>
      <c r="X108" s="47"/>
      <c r="Y108" s="42"/>
      <c r="Z108" s="48"/>
      <c r="AA108" s="44">
        <f t="shared" si="17"/>
        <v>0</v>
      </c>
      <c r="AB108" s="49" t="str">
        <f t="shared" si="18"/>
        <v/>
      </c>
      <c r="AC108" s="50" t="str">
        <f t="shared" si="19"/>
        <v/>
      </c>
    </row>
    <row r="109" spans="1:29">
      <c r="B109" s="59"/>
      <c r="C109" s="42"/>
      <c r="D109" s="42"/>
      <c r="E109" s="42"/>
      <c r="F109" s="42"/>
      <c r="G109" s="42"/>
      <c r="H109" s="44"/>
      <c r="I109" s="44"/>
      <c r="J109" s="45"/>
      <c r="K109" s="46"/>
      <c r="L109" s="47"/>
      <c r="M109" s="42"/>
      <c r="N109" s="48"/>
      <c r="O109" s="44">
        <f t="shared" si="11"/>
        <v>0</v>
      </c>
      <c r="P109" s="49" t="str">
        <f t="shared" si="12"/>
        <v/>
      </c>
      <c r="Q109" s="50" t="str">
        <f t="shared" si="13"/>
        <v/>
      </c>
      <c r="R109" s="47"/>
      <c r="S109" s="42"/>
      <c r="T109" s="48"/>
      <c r="U109" s="44">
        <f t="shared" si="14"/>
        <v>0</v>
      </c>
      <c r="V109" s="49" t="str">
        <f t="shared" si="15"/>
        <v/>
      </c>
      <c r="W109" s="50" t="str">
        <f t="shared" si="16"/>
        <v/>
      </c>
      <c r="X109" s="47"/>
      <c r="Y109" s="42"/>
      <c r="Z109" s="48"/>
      <c r="AA109" s="44">
        <f t="shared" si="17"/>
        <v>0</v>
      </c>
      <c r="AB109" s="49" t="str">
        <f t="shared" si="18"/>
        <v/>
      </c>
      <c r="AC109" s="50" t="str">
        <f t="shared" si="19"/>
        <v/>
      </c>
    </row>
    <row r="110" spans="1:29">
      <c r="B110" s="41" t="s">
        <v>116</v>
      </c>
      <c r="C110" s="42"/>
      <c r="D110" s="43"/>
      <c r="E110" s="42"/>
      <c r="F110" s="42"/>
      <c r="G110" s="42"/>
      <c r="H110" s="44"/>
      <c r="I110" s="44"/>
      <c r="J110" s="45"/>
      <c r="K110" s="46"/>
      <c r="L110" s="47"/>
      <c r="M110" s="42"/>
      <c r="N110" s="48"/>
      <c r="O110" s="44">
        <f t="shared" si="11"/>
        <v>0</v>
      </c>
      <c r="P110" s="49" t="str">
        <f t="shared" si="12"/>
        <v/>
      </c>
      <c r="Q110" s="50" t="str">
        <f t="shared" si="13"/>
        <v/>
      </c>
      <c r="R110" s="47"/>
      <c r="S110" s="42"/>
      <c r="T110" s="48"/>
      <c r="U110" s="44">
        <f t="shared" si="14"/>
        <v>0</v>
      </c>
      <c r="V110" s="49" t="str">
        <f t="shared" si="15"/>
        <v/>
      </c>
      <c r="W110" s="50" t="str">
        <f t="shared" si="16"/>
        <v/>
      </c>
      <c r="X110" s="47"/>
      <c r="Y110" s="42"/>
      <c r="Z110" s="48"/>
      <c r="AA110" s="44">
        <f t="shared" si="17"/>
        <v>0</v>
      </c>
      <c r="AB110" s="49" t="str">
        <f t="shared" si="18"/>
        <v/>
      </c>
      <c r="AC110" s="50" t="str">
        <f t="shared" si="19"/>
        <v/>
      </c>
    </row>
    <row r="111" spans="1:29">
      <c r="A111" s="51">
        <f>A107+1</f>
        <v>34</v>
      </c>
      <c r="B111" s="52" t="str">
        <f>[1]!ArticleCode(Art_04.20.)</f>
        <v>04.20.</v>
      </c>
      <c r="C111" s="53" t="str">
        <f>[1]!ArticleDescription(Art_04.20.)</f>
        <v>luchtdichtheid - algemeen</v>
      </c>
      <c r="D111" s="42" t="str">
        <f>[1]!ArticleMeasureType(Art_04.20.)</f>
        <v>PM</v>
      </c>
      <c r="E111" s="42" t="str">
        <f>[1]!ArticleMeasureUnit(Art_04.20.)</f>
        <v/>
      </c>
      <c r="F111" s="60" t="str">
        <f>[1]!ArticleQuantity(Art_04.20.)</f>
        <v/>
      </c>
      <c r="G111" s="42"/>
      <c r="H111" s="44"/>
      <c r="I111" s="44">
        <f>IF(RIGHT($D111,1)="-","************",ROUND(IF(NOT(ISNUMBER(G111)),IF(NOT(ISNUMBER(F111)),1,F111),G111)*H111,2))</f>
        <v>0</v>
      </c>
      <c r="J111" s="45"/>
      <c r="K111" s="46"/>
      <c r="L111" s="47"/>
      <c r="M111" s="42"/>
      <c r="N111" s="48"/>
      <c r="O111" s="44">
        <f t="shared" si="11"/>
        <v>0</v>
      </c>
      <c r="P111" s="49" t="str">
        <f t="shared" si="12"/>
        <v/>
      </c>
      <c r="Q111" s="50" t="str">
        <f t="shared" si="13"/>
        <v/>
      </c>
      <c r="R111" s="47"/>
      <c r="S111" s="42"/>
      <c r="T111" s="48"/>
      <c r="U111" s="44">
        <f t="shared" si="14"/>
        <v>0</v>
      </c>
      <c r="V111" s="49" t="str">
        <f t="shared" si="15"/>
        <v/>
      </c>
      <c r="W111" s="50" t="str">
        <f t="shared" si="16"/>
        <v/>
      </c>
      <c r="X111" s="47"/>
      <c r="Y111" s="42"/>
      <c r="Z111" s="48"/>
      <c r="AA111" s="44">
        <f t="shared" si="17"/>
        <v>0</v>
      </c>
      <c r="AB111" s="49" t="str">
        <f t="shared" si="18"/>
        <v/>
      </c>
      <c r="AC111" s="50" t="str">
        <f t="shared" si="19"/>
        <v/>
      </c>
    </row>
    <row r="112" spans="1:29">
      <c r="A112" s="51">
        <f>A111+1</f>
        <v>35</v>
      </c>
      <c r="B112" s="52" t="str">
        <f>[1]!ArticleCode(Art_04.30.)</f>
        <v>04.30.</v>
      </c>
      <c r="C112" s="53" t="str">
        <f>[1]!ArticleDescription(Art_04.30.)</f>
        <v>akoestiek - algemeen</v>
      </c>
      <c r="D112" s="42" t="str">
        <f>[1]!ArticleMeasureType(Art_04.30.)</f>
        <v>PM</v>
      </c>
      <c r="E112" s="42" t="str">
        <f>[1]!ArticleMeasureUnit(Art_04.30.)</f>
        <v/>
      </c>
      <c r="F112" s="60" t="str">
        <f>[1]!ArticleQuantity(Art_04.30.)</f>
        <v/>
      </c>
      <c r="G112" s="42"/>
      <c r="H112" s="44"/>
      <c r="I112" s="44">
        <f>IF(RIGHT($D112,1)="-","************",ROUND(IF(NOT(ISNUMBER(G112)),IF(NOT(ISNUMBER(F112)),1,F112),G112)*H112,2))</f>
        <v>0</v>
      </c>
      <c r="J112" s="45"/>
      <c r="K112" s="46"/>
      <c r="L112" s="47"/>
      <c r="M112" s="42"/>
      <c r="N112" s="48"/>
      <c r="O112" s="44">
        <f t="shared" si="11"/>
        <v>0</v>
      </c>
      <c r="P112" s="49" t="str">
        <f t="shared" si="12"/>
        <v/>
      </c>
      <c r="Q112" s="50" t="str">
        <f t="shared" si="13"/>
        <v/>
      </c>
      <c r="R112" s="47"/>
      <c r="S112" s="42"/>
      <c r="T112" s="48"/>
      <c r="U112" s="44">
        <f t="shared" si="14"/>
        <v>0</v>
      </c>
      <c r="V112" s="49" t="str">
        <f t="shared" si="15"/>
        <v/>
      </c>
      <c r="W112" s="50" t="str">
        <f t="shared" si="16"/>
        <v/>
      </c>
      <c r="X112" s="47"/>
      <c r="Y112" s="42"/>
      <c r="Z112" s="48"/>
      <c r="AA112" s="44">
        <f t="shared" si="17"/>
        <v>0</v>
      </c>
      <c r="AB112" s="49" t="str">
        <f t="shared" si="18"/>
        <v/>
      </c>
      <c r="AC112" s="50" t="str">
        <f t="shared" si="19"/>
        <v/>
      </c>
    </row>
    <row r="113" spans="1:29">
      <c r="B113" s="54"/>
      <c r="C113" s="55"/>
      <c r="D113" s="56"/>
      <c r="E113" s="55"/>
      <c r="F113" s="55"/>
      <c r="G113" s="55"/>
      <c r="H113" s="57"/>
      <c r="I113" s="57"/>
      <c r="J113" s="58">
        <f>SUBTOTAL(9,I111:I112)</f>
        <v>0</v>
      </c>
      <c r="K113" s="46"/>
      <c r="L113" s="47"/>
      <c r="M113" s="42"/>
      <c r="N113" s="48"/>
      <c r="O113" s="44">
        <f t="shared" si="11"/>
        <v>0</v>
      </c>
      <c r="P113" s="49" t="str">
        <f t="shared" si="12"/>
        <v/>
      </c>
      <c r="Q113" s="50" t="str">
        <f t="shared" si="13"/>
        <v/>
      </c>
      <c r="R113" s="47"/>
      <c r="S113" s="42"/>
      <c r="T113" s="48"/>
      <c r="U113" s="44">
        <f t="shared" si="14"/>
        <v>0</v>
      </c>
      <c r="V113" s="49" t="str">
        <f t="shared" si="15"/>
        <v/>
      </c>
      <c r="W113" s="50" t="str">
        <f t="shared" si="16"/>
        <v/>
      </c>
      <c r="X113" s="47"/>
      <c r="Y113" s="42"/>
      <c r="Z113" s="48"/>
      <c r="AA113" s="44">
        <f t="shared" si="17"/>
        <v>0</v>
      </c>
      <c r="AB113" s="49" t="str">
        <f t="shared" si="18"/>
        <v/>
      </c>
      <c r="AC113" s="50" t="str">
        <f t="shared" si="19"/>
        <v/>
      </c>
    </row>
    <row r="114" spans="1:29">
      <c r="B114" s="59"/>
      <c r="C114" s="42"/>
      <c r="D114" s="42"/>
      <c r="E114" s="42"/>
      <c r="F114" s="42"/>
      <c r="G114" s="42"/>
      <c r="H114" s="44"/>
      <c r="I114" s="44"/>
      <c r="J114" s="45"/>
      <c r="K114" s="46"/>
      <c r="L114" s="47"/>
      <c r="M114" s="42"/>
      <c r="N114" s="48"/>
      <c r="O114" s="44">
        <f t="shared" si="11"/>
        <v>0</v>
      </c>
      <c r="P114" s="49" t="str">
        <f t="shared" si="12"/>
        <v/>
      </c>
      <c r="Q114" s="50" t="str">
        <f t="shared" si="13"/>
        <v/>
      </c>
      <c r="R114" s="47"/>
      <c r="S114" s="42"/>
      <c r="T114" s="48"/>
      <c r="U114" s="44">
        <f t="shared" si="14"/>
        <v>0</v>
      </c>
      <c r="V114" s="49" t="str">
        <f t="shared" si="15"/>
        <v/>
      </c>
      <c r="W114" s="50" t="str">
        <f t="shared" si="16"/>
        <v/>
      </c>
      <c r="X114" s="47"/>
      <c r="Y114" s="42"/>
      <c r="Z114" s="48"/>
      <c r="AA114" s="44">
        <f t="shared" si="17"/>
        <v>0</v>
      </c>
      <c r="AB114" s="49" t="str">
        <f t="shared" si="18"/>
        <v/>
      </c>
      <c r="AC114" s="50" t="str">
        <f t="shared" si="19"/>
        <v/>
      </c>
    </row>
    <row r="115" spans="1:29">
      <c r="B115" s="41" t="s">
        <v>389</v>
      </c>
      <c r="C115" s="42"/>
      <c r="D115" s="43"/>
      <c r="E115" s="42"/>
      <c r="F115" s="42"/>
      <c r="G115" s="42"/>
      <c r="H115" s="44"/>
      <c r="I115" s="44"/>
      <c r="J115" s="45"/>
      <c r="K115" s="46"/>
      <c r="L115" s="47"/>
      <c r="M115" s="42"/>
      <c r="N115" s="48"/>
      <c r="O115" s="44">
        <f t="shared" si="11"/>
        <v>0</v>
      </c>
      <c r="P115" s="49" t="str">
        <f t="shared" si="12"/>
        <v/>
      </c>
      <c r="Q115" s="50" t="str">
        <f t="shared" si="13"/>
        <v/>
      </c>
      <c r="R115" s="47"/>
      <c r="S115" s="42"/>
      <c r="T115" s="48"/>
      <c r="U115" s="44">
        <f t="shared" si="14"/>
        <v>0</v>
      </c>
      <c r="V115" s="49" t="str">
        <f t="shared" si="15"/>
        <v/>
      </c>
      <c r="W115" s="50" t="str">
        <f t="shared" si="16"/>
        <v/>
      </c>
      <c r="X115" s="47"/>
      <c r="Y115" s="42"/>
      <c r="Z115" s="48"/>
      <c r="AA115" s="44">
        <f t="shared" si="17"/>
        <v>0</v>
      </c>
      <c r="AB115" s="49" t="str">
        <f t="shared" si="18"/>
        <v/>
      </c>
      <c r="AC115" s="50" t="str">
        <f t="shared" si="19"/>
        <v/>
      </c>
    </row>
    <row r="116" spans="1:29">
      <c r="B116" s="52" t="str">
        <f>[1]!ArticleCode(Art_05.)</f>
        <v>05.</v>
      </c>
      <c r="C116" s="53" t="str">
        <f>[1]!ArticleDescription(Art_05.)</f>
        <v>PROEVEN</v>
      </c>
      <c r="D116" s="42"/>
      <c r="E116" s="42"/>
      <c r="F116" s="42"/>
      <c r="G116" s="42"/>
      <c r="H116" s="44"/>
      <c r="I116" s="44"/>
      <c r="J116" s="45"/>
      <c r="K116" s="46"/>
      <c r="L116" s="47"/>
      <c r="M116" s="42"/>
      <c r="N116" s="48"/>
      <c r="O116" s="44">
        <f t="shared" si="11"/>
        <v>0</v>
      </c>
      <c r="P116" s="49" t="str">
        <f t="shared" si="12"/>
        <v/>
      </c>
      <c r="Q116" s="50" t="str">
        <f t="shared" si="13"/>
        <v/>
      </c>
      <c r="R116" s="47"/>
      <c r="S116" s="42"/>
      <c r="T116" s="48"/>
      <c r="U116" s="44">
        <f t="shared" si="14"/>
        <v>0</v>
      </c>
      <c r="V116" s="49" t="str">
        <f t="shared" si="15"/>
        <v/>
      </c>
      <c r="W116" s="50" t="str">
        <f t="shared" si="16"/>
        <v/>
      </c>
      <c r="X116" s="47"/>
      <c r="Y116" s="42"/>
      <c r="Z116" s="48"/>
      <c r="AA116" s="44">
        <f t="shared" si="17"/>
        <v>0</v>
      </c>
      <c r="AB116" s="49" t="str">
        <f t="shared" si="18"/>
        <v/>
      </c>
      <c r="AC116" s="50" t="str">
        <f t="shared" si="19"/>
        <v/>
      </c>
    </row>
    <row r="117" spans="1:29">
      <c r="B117" s="52" t="str">
        <f>[1]!ArticleCode(Art_05.00.)</f>
        <v>05.00.</v>
      </c>
      <c r="C117" s="53" t="str">
        <f>[1]!ArticleDescription(Art_05.00.)</f>
        <v>proeven - algemeen</v>
      </c>
      <c r="D117" s="42"/>
      <c r="E117" s="42"/>
      <c r="F117" s="42"/>
      <c r="G117" s="42"/>
      <c r="H117" s="44"/>
      <c r="I117" s="44"/>
      <c r="J117" s="45"/>
      <c r="K117" s="46"/>
      <c r="L117" s="47"/>
      <c r="M117" s="42"/>
      <c r="N117" s="48"/>
      <c r="O117" s="44">
        <f t="shared" si="11"/>
        <v>0</v>
      </c>
      <c r="P117" s="49" t="str">
        <f t="shared" si="12"/>
        <v/>
      </c>
      <c r="Q117" s="50" t="str">
        <f t="shared" si="13"/>
        <v/>
      </c>
      <c r="R117" s="47"/>
      <c r="S117" s="42"/>
      <c r="T117" s="48"/>
      <c r="U117" s="44">
        <f t="shared" si="14"/>
        <v>0</v>
      </c>
      <c r="V117" s="49" t="str">
        <f t="shared" si="15"/>
        <v/>
      </c>
      <c r="W117" s="50" t="str">
        <f t="shared" si="16"/>
        <v/>
      </c>
      <c r="X117" s="47"/>
      <c r="Y117" s="42"/>
      <c r="Z117" s="48"/>
      <c r="AA117" s="44">
        <f t="shared" si="17"/>
        <v>0</v>
      </c>
      <c r="AB117" s="49" t="str">
        <f t="shared" si="18"/>
        <v/>
      </c>
      <c r="AC117" s="50" t="str">
        <f t="shared" si="19"/>
        <v/>
      </c>
    </row>
    <row r="118" spans="1:29">
      <c r="B118" s="52" t="str">
        <f>[1]!ArticleCode(Art_05.10.)</f>
        <v>05.10.</v>
      </c>
      <c r="C118" s="53" t="str">
        <f>[1]!ArticleDescription(Art_05.10.)</f>
        <v>proeven - luchtdichtheidsmeting</v>
      </c>
      <c r="D118" s="42"/>
      <c r="E118" s="42"/>
      <c r="F118" s="42"/>
      <c r="G118" s="42"/>
      <c r="H118" s="44"/>
      <c r="I118" s="44"/>
      <c r="J118" s="45"/>
      <c r="K118" s="46"/>
      <c r="L118" s="47"/>
      <c r="M118" s="42"/>
      <c r="N118" s="48"/>
      <c r="O118" s="44">
        <f t="shared" si="11"/>
        <v>0</v>
      </c>
      <c r="P118" s="49" t="str">
        <f t="shared" si="12"/>
        <v/>
      </c>
      <c r="Q118" s="50" t="str">
        <f t="shared" si="13"/>
        <v/>
      </c>
      <c r="R118" s="47"/>
      <c r="S118" s="42"/>
      <c r="T118" s="48"/>
      <c r="U118" s="44">
        <f t="shared" si="14"/>
        <v>0</v>
      </c>
      <c r="V118" s="49" t="str">
        <f t="shared" si="15"/>
        <v/>
      </c>
      <c r="W118" s="50" t="str">
        <f t="shared" si="16"/>
        <v/>
      </c>
      <c r="X118" s="47"/>
      <c r="Y118" s="42"/>
      <c r="Z118" s="48"/>
      <c r="AA118" s="44">
        <f t="shared" si="17"/>
        <v>0</v>
      </c>
      <c r="AB118" s="49" t="str">
        <f t="shared" si="18"/>
        <v/>
      </c>
      <c r="AC118" s="50" t="str">
        <f t="shared" si="19"/>
        <v/>
      </c>
    </row>
    <row r="119" spans="1:29">
      <c r="A119" s="51">
        <f>A112+1</f>
        <v>36</v>
      </c>
      <c r="B119" s="52" t="str">
        <f>[1]!ArticleCode(Art_05.12.)</f>
        <v>05.12.</v>
      </c>
      <c r="C119" s="53" t="str">
        <f>[1]!ArticleDescription(Art_05.12.)</f>
        <v>proeven – luchtdichtheidsmeting / gebouw</v>
      </c>
      <c r="D119" s="42" t="str">
        <f>[1]!ArticleMeasureType(Art_05.12.)</f>
        <v>FH</v>
      </c>
      <c r="E119" s="42" t="str">
        <f>[1]!ArticleMeasureUnit(Art_05.12.)</f>
        <v>st</v>
      </c>
      <c r="F119" s="60">
        <f>[1]!ArticleQuantity(Art_05.12.)</f>
        <v>1</v>
      </c>
      <c r="G119" s="42"/>
      <c r="H119" s="44"/>
      <c r="I119" s="44">
        <f>IF(RIGHT($D119,1)="-","************",ROUND(IF(NOT(ISNUMBER(G119)),IF(NOT(ISNUMBER(F119)),1,F119),G119)*H119,2))</f>
        <v>0</v>
      </c>
      <c r="J119" s="45"/>
      <c r="K119" s="46"/>
      <c r="L119" s="47"/>
      <c r="M119" s="42"/>
      <c r="N119" s="48"/>
      <c r="O119" s="44">
        <f t="shared" si="11"/>
        <v>0</v>
      </c>
      <c r="P119" s="49" t="str">
        <f t="shared" si="12"/>
        <v/>
      </c>
      <c r="Q119" s="50" t="str">
        <f t="shared" si="13"/>
        <v/>
      </c>
      <c r="R119" s="47"/>
      <c r="S119" s="42"/>
      <c r="T119" s="48"/>
      <c r="U119" s="44">
        <f t="shared" si="14"/>
        <v>0</v>
      </c>
      <c r="V119" s="49" t="str">
        <f t="shared" si="15"/>
        <v/>
      </c>
      <c r="W119" s="50" t="str">
        <f t="shared" si="16"/>
        <v/>
      </c>
      <c r="X119" s="47"/>
      <c r="Y119" s="42"/>
      <c r="Z119" s="48"/>
      <c r="AA119" s="44">
        <f t="shared" si="17"/>
        <v>0</v>
      </c>
      <c r="AB119" s="49" t="str">
        <f t="shared" si="18"/>
        <v/>
      </c>
      <c r="AC119" s="50" t="str">
        <f t="shared" si="19"/>
        <v/>
      </c>
    </row>
    <row r="120" spans="1:29">
      <c r="B120" s="54"/>
      <c r="C120" s="55"/>
      <c r="D120" s="56"/>
      <c r="E120" s="55"/>
      <c r="F120" s="55"/>
      <c r="G120" s="55"/>
      <c r="H120" s="57"/>
      <c r="I120" s="57"/>
      <c r="J120" s="58">
        <f>SUBTOTAL(9,I116:I119)</f>
        <v>0</v>
      </c>
      <c r="K120" s="46"/>
      <c r="L120" s="47"/>
      <c r="M120" s="42"/>
      <c r="N120" s="48"/>
      <c r="O120" s="44">
        <f t="shared" si="11"/>
        <v>0</v>
      </c>
      <c r="P120" s="49" t="str">
        <f t="shared" si="12"/>
        <v/>
      </c>
      <c r="Q120" s="50" t="str">
        <f t="shared" si="13"/>
        <v/>
      </c>
      <c r="R120" s="47"/>
      <c r="S120" s="42"/>
      <c r="T120" s="48"/>
      <c r="U120" s="44">
        <f t="shared" si="14"/>
        <v>0</v>
      </c>
      <c r="V120" s="49" t="str">
        <f t="shared" si="15"/>
        <v/>
      </c>
      <c r="W120" s="50" t="str">
        <f t="shared" si="16"/>
        <v/>
      </c>
      <c r="X120" s="47"/>
      <c r="Y120" s="42"/>
      <c r="Z120" s="48"/>
      <c r="AA120" s="44">
        <f t="shared" si="17"/>
        <v>0</v>
      </c>
      <c r="AB120" s="49" t="str">
        <f t="shared" si="18"/>
        <v/>
      </c>
      <c r="AC120" s="50" t="str">
        <f t="shared" si="19"/>
        <v/>
      </c>
    </row>
    <row r="121" spans="1:29">
      <c r="B121" s="59"/>
      <c r="C121" s="42"/>
      <c r="D121" s="42"/>
      <c r="E121" s="42"/>
      <c r="F121" s="42"/>
      <c r="G121" s="42"/>
      <c r="H121" s="44"/>
      <c r="I121" s="44"/>
      <c r="J121" s="45"/>
      <c r="K121" s="46"/>
      <c r="L121" s="47"/>
      <c r="M121" s="42"/>
      <c r="N121" s="48"/>
      <c r="O121" s="44">
        <f t="shared" si="11"/>
        <v>0</v>
      </c>
      <c r="P121" s="49" t="str">
        <f t="shared" si="12"/>
        <v/>
      </c>
      <c r="Q121" s="50" t="str">
        <f t="shared" si="13"/>
        <v/>
      </c>
      <c r="R121" s="47"/>
      <c r="S121" s="42"/>
      <c r="T121" s="48"/>
      <c r="U121" s="44">
        <f t="shared" si="14"/>
        <v>0</v>
      </c>
      <c r="V121" s="49" t="str">
        <f t="shared" si="15"/>
        <v/>
      </c>
      <c r="W121" s="50" t="str">
        <f t="shared" si="16"/>
        <v/>
      </c>
      <c r="X121" s="47"/>
      <c r="Y121" s="42"/>
      <c r="Z121" s="48"/>
      <c r="AA121" s="44">
        <f t="shared" si="17"/>
        <v>0</v>
      </c>
      <c r="AB121" s="49" t="str">
        <f t="shared" si="18"/>
        <v/>
      </c>
      <c r="AC121" s="50" t="str">
        <f t="shared" si="19"/>
        <v/>
      </c>
    </row>
    <row r="122" spans="1:29">
      <c r="B122" s="41" t="s">
        <v>390</v>
      </c>
      <c r="C122" s="42"/>
      <c r="D122" s="43"/>
      <c r="E122" s="42"/>
      <c r="F122" s="42"/>
      <c r="G122" s="42"/>
      <c r="H122" s="44"/>
      <c r="I122" s="44"/>
      <c r="J122" s="45"/>
      <c r="K122" s="46"/>
      <c r="L122" s="47"/>
      <c r="M122" s="42"/>
      <c r="N122" s="48"/>
      <c r="O122" s="44">
        <f t="shared" si="11"/>
        <v>0</v>
      </c>
      <c r="P122" s="49" t="str">
        <f t="shared" si="12"/>
        <v/>
      </c>
      <c r="Q122" s="50" t="str">
        <f t="shared" si="13"/>
        <v/>
      </c>
      <c r="R122" s="47"/>
      <c r="S122" s="42"/>
      <c r="T122" s="48"/>
      <c r="U122" s="44">
        <f t="shared" si="14"/>
        <v>0</v>
      </c>
      <c r="V122" s="49" t="str">
        <f t="shared" si="15"/>
        <v/>
      </c>
      <c r="W122" s="50" t="str">
        <f t="shared" si="16"/>
        <v/>
      </c>
      <c r="X122" s="47"/>
      <c r="Y122" s="42"/>
      <c r="Z122" s="48"/>
      <c r="AA122" s="44">
        <f t="shared" si="17"/>
        <v>0</v>
      </c>
      <c r="AB122" s="49" t="str">
        <f t="shared" si="18"/>
        <v/>
      </c>
      <c r="AC122" s="50" t="str">
        <f t="shared" si="19"/>
        <v/>
      </c>
    </row>
    <row r="123" spans="1:29">
      <c r="B123" s="52" t="str">
        <f>[1]!ArticleCode(Art_10.)</f>
        <v>10.</v>
      </c>
      <c r="C123" s="53" t="str">
        <f>[1]!ArticleDescription(Art_10.)</f>
        <v>GRONDWERKEN</v>
      </c>
      <c r="D123" s="42"/>
      <c r="E123" s="42"/>
      <c r="F123" s="42"/>
      <c r="G123" s="42"/>
      <c r="H123" s="44"/>
      <c r="I123" s="44"/>
      <c r="J123" s="45"/>
      <c r="K123" s="46"/>
      <c r="L123" s="47"/>
      <c r="M123" s="42"/>
      <c r="N123" s="48"/>
      <c r="O123" s="44">
        <f t="shared" si="11"/>
        <v>0</v>
      </c>
      <c r="P123" s="49" t="str">
        <f t="shared" si="12"/>
        <v/>
      </c>
      <c r="Q123" s="50" t="str">
        <f t="shared" si="13"/>
        <v/>
      </c>
      <c r="R123" s="47"/>
      <c r="S123" s="42"/>
      <c r="T123" s="48"/>
      <c r="U123" s="44">
        <f t="shared" si="14"/>
        <v>0</v>
      </c>
      <c r="V123" s="49" t="str">
        <f t="shared" si="15"/>
        <v/>
      </c>
      <c r="W123" s="50" t="str">
        <f t="shared" si="16"/>
        <v/>
      </c>
      <c r="X123" s="47"/>
      <c r="Y123" s="42"/>
      <c r="Z123" s="48"/>
      <c r="AA123" s="44">
        <f t="shared" si="17"/>
        <v>0</v>
      </c>
      <c r="AB123" s="49" t="str">
        <f t="shared" si="18"/>
        <v/>
      </c>
      <c r="AC123" s="50" t="str">
        <f t="shared" si="19"/>
        <v/>
      </c>
    </row>
    <row r="124" spans="1:29">
      <c r="B124" s="52" t="str">
        <f>[1]!ArticleCode(Art_10.00.)</f>
        <v>10.00.</v>
      </c>
      <c r="C124" s="53" t="str">
        <f>[1]!ArticleDescription(Art_10.00.)</f>
        <v>grondwerken - algemeen</v>
      </c>
      <c r="D124" s="42"/>
      <c r="E124" s="42"/>
      <c r="F124" s="42"/>
      <c r="G124" s="42"/>
      <c r="H124" s="44"/>
      <c r="I124" s="44"/>
      <c r="J124" s="45"/>
      <c r="K124" s="46"/>
      <c r="L124" s="47"/>
      <c r="M124" s="42"/>
      <c r="N124" s="48"/>
      <c r="O124" s="44">
        <f t="shared" si="11"/>
        <v>0</v>
      </c>
      <c r="P124" s="49" t="str">
        <f t="shared" si="12"/>
        <v/>
      </c>
      <c r="Q124" s="50" t="str">
        <f t="shared" si="13"/>
        <v/>
      </c>
      <c r="R124" s="47"/>
      <c r="S124" s="42"/>
      <c r="T124" s="48"/>
      <c r="U124" s="44">
        <f t="shared" si="14"/>
        <v>0</v>
      </c>
      <c r="V124" s="49" t="str">
        <f t="shared" si="15"/>
        <v/>
      </c>
      <c r="W124" s="50" t="str">
        <f t="shared" si="16"/>
        <v/>
      </c>
      <c r="X124" s="47"/>
      <c r="Y124" s="42"/>
      <c r="Z124" s="48"/>
      <c r="AA124" s="44">
        <f t="shared" si="17"/>
        <v>0</v>
      </c>
      <c r="AB124" s="49" t="str">
        <f t="shared" si="18"/>
        <v/>
      </c>
      <c r="AC124" s="50" t="str">
        <f t="shared" si="19"/>
        <v/>
      </c>
    </row>
    <row r="125" spans="1:29">
      <c r="B125" s="52" t="str">
        <f>[1]!ArticleCode(Art_10.20.)</f>
        <v>10.20.</v>
      </c>
      <c r="C125" s="53" t="str">
        <f>[1]!ArticleDescription(Art_10.20.)</f>
        <v>uitgraving bouwputten - algemeen</v>
      </c>
      <c r="D125" s="42"/>
      <c r="E125" s="42"/>
      <c r="F125" s="42"/>
      <c r="G125" s="42"/>
      <c r="H125" s="44"/>
      <c r="I125" s="44"/>
      <c r="J125" s="45"/>
      <c r="K125" s="46"/>
      <c r="L125" s="47"/>
      <c r="M125" s="42"/>
      <c r="N125" s="48"/>
      <c r="O125" s="44">
        <f t="shared" si="11"/>
        <v>0</v>
      </c>
      <c r="P125" s="49" t="str">
        <f t="shared" si="12"/>
        <v/>
      </c>
      <c r="Q125" s="50" t="str">
        <f t="shared" si="13"/>
        <v/>
      </c>
      <c r="R125" s="47"/>
      <c r="S125" s="42"/>
      <c r="T125" s="48"/>
      <c r="U125" s="44">
        <f t="shared" si="14"/>
        <v>0</v>
      </c>
      <c r="V125" s="49" t="str">
        <f t="shared" si="15"/>
        <v/>
      </c>
      <c r="W125" s="50" t="str">
        <f t="shared" si="16"/>
        <v/>
      </c>
      <c r="X125" s="47"/>
      <c r="Y125" s="42"/>
      <c r="Z125" s="48"/>
      <c r="AA125" s="44">
        <f t="shared" si="17"/>
        <v>0</v>
      </c>
      <c r="AB125" s="49" t="str">
        <f t="shared" si="18"/>
        <v/>
      </c>
      <c r="AC125" s="50" t="str">
        <f t="shared" si="19"/>
        <v/>
      </c>
    </row>
    <row r="126" spans="1:29">
      <c r="A126" s="51">
        <f>A119+1</f>
        <v>37</v>
      </c>
      <c r="B126" s="52" t="str">
        <f>[1]!ArticleCode(Art_10.21.)</f>
        <v>10.21.</v>
      </c>
      <c r="C126" s="53" t="str">
        <f>[1]!ArticleDescription(Art_10.21.)</f>
        <v>uitgraving bouwputten - gewone bouwputten</v>
      </c>
      <c r="D126" s="42" t="str">
        <f>[1]!ArticleMeasureType(Art_10.21.)</f>
        <v>PM</v>
      </c>
      <c r="E126" s="42" t="str">
        <f>[1]!ArticleMeasureUnit(Art_10.21.)</f>
        <v/>
      </c>
      <c r="F126" s="60" t="str">
        <f>[1]!ArticleQuantity(Art_10.21.)</f>
        <v/>
      </c>
      <c r="G126" s="42"/>
      <c r="H126" s="44"/>
      <c r="I126" s="44">
        <f>IF(RIGHT($D126,1)="-","************",ROUND(IF(NOT(ISNUMBER(G126)),IF(NOT(ISNUMBER(F126)),1,F126),G126)*H126,2))</f>
        <v>0</v>
      </c>
      <c r="J126" s="45"/>
      <c r="K126" s="46"/>
      <c r="L126" s="47"/>
      <c r="M126" s="42"/>
      <c r="N126" s="48"/>
      <c r="O126" s="44">
        <f t="shared" si="11"/>
        <v>0</v>
      </c>
      <c r="P126" s="49" t="str">
        <f t="shared" si="12"/>
        <v/>
      </c>
      <c r="Q126" s="50" t="str">
        <f t="shared" si="13"/>
        <v/>
      </c>
      <c r="R126" s="47"/>
      <c r="S126" s="42"/>
      <c r="T126" s="48"/>
      <c r="U126" s="44">
        <f t="shared" si="14"/>
        <v>0</v>
      </c>
      <c r="V126" s="49" t="str">
        <f t="shared" si="15"/>
        <v/>
      </c>
      <c r="W126" s="50" t="str">
        <f t="shared" si="16"/>
        <v/>
      </c>
      <c r="X126" s="47"/>
      <c r="Y126" s="42"/>
      <c r="Z126" s="48"/>
      <c r="AA126" s="44">
        <f t="shared" si="17"/>
        <v>0</v>
      </c>
      <c r="AB126" s="49" t="str">
        <f t="shared" si="18"/>
        <v/>
      </c>
      <c r="AC126" s="50" t="str">
        <f t="shared" si="19"/>
        <v/>
      </c>
    </row>
    <row r="127" spans="1:29">
      <c r="A127" s="51">
        <f>A126+1</f>
        <v>38</v>
      </c>
      <c r="B127" s="52" t="str">
        <f>[1]!ArticleCode(Art_10.23.)</f>
        <v>10.23.</v>
      </c>
      <c r="C127" s="53" t="str">
        <f>[1]!ArticleDescription(Art_10.23.)</f>
        <v>uitgraving bouwputten - rioleringselementen</v>
      </c>
      <c r="D127" s="42" t="str">
        <f>[1]!ArticleMeasureType(Art_10.23.)</f>
        <v>PM</v>
      </c>
      <c r="E127" s="42" t="str">
        <f>[1]!ArticleMeasureUnit(Art_10.23.)</f>
        <v/>
      </c>
      <c r="F127" s="60" t="str">
        <f>[1]!ArticleQuantity(Art_10.23.)</f>
        <v/>
      </c>
      <c r="G127" s="42"/>
      <c r="H127" s="44"/>
      <c r="I127" s="44">
        <f>IF(RIGHT($D127,1)="-","************",ROUND(IF(NOT(ISNUMBER(G127)),IF(NOT(ISNUMBER(F127)),1,F127),G127)*H127,2))</f>
        <v>0</v>
      </c>
      <c r="J127" s="45"/>
      <c r="K127" s="46"/>
      <c r="L127" s="47"/>
      <c r="M127" s="42"/>
      <c r="N127" s="48"/>
      <c r="O127" s="44">
        <f t="shared" si="11"/>
        <v>0</v>
      </c>
      <c r="P127" s="49" t="str">
        <f t="shared" si="12"/>
        <v/>
      </c>
      <c r="Q127" s="50" t="str">
        <f t="shared" si="13"/>
        <v/>
      </c>
      <c r="R127" s="47"/>
      <c r="S127" s="42"/>
      <c r="T127" s="48"/>
      <c r="U127" s="44">
        <f t="shared" si="14"/>
        <v>0</v>
      </c>
      <c r="V127" s="49" t="str">
        <f t="shared" si="15"/>
        <v/>
      </c>
      <c r="W127" s="50" t="str">
        <f t="shared" si="16"/>
        <v/>
      </c>
      <c r="X127" s="47"/>
      <c r="Y127" s="42"/>
      <c r="Z127" s="48"/>
      <c r="AA127" s="44">
        <f t="shared" si="17"/>
        <v>0</v>
      </c>
      <c r="AB127" s="49" t="str">
        <f t="shared" si="18"/>
        <v/>
      </c>
      <c r="AC127" s="50" t="str">
        <f t="shared" si="19"/>
        <v/>
      </c>
    </row>
    <row r="128" spans="1:29">
      <c r="B128" s="52" t="str">
        <f>[1]!ArticleCode(Art_10.24.)</f>
        <v>10.24.</v>
      </c>
      <c r="C128" s="53" t="str">
        <f>[1]!ArticleDescription(Art_10.24.)</f>
        <v>uitgraving bouwputten - afgraven en uitdiepen bestaande vloer</v>
      </c>
      <c r="D128" s="42"/>
      <c r="E128" s="42"/>
      <c r="F128" s="42"/>
      <c r="G128" s="42"/>
      <c r="H128" s="44"/>
      <c r="I128" s="44"/>
      <c r="J128" s="45"/>
      <c r="K128" s="46"/>
      <c r="L128" s="47"/>
      <c r="M128" s="42"/>
      <c r="N128" s="48"/>
      <c r="O128" s="44">
        <f t="shared" si="11"/>
        <v>0</v>
      </c>
      <c r="P128" s="49" t="str">
        <f t="shared" si="12"/>
        <v/>
      </c>
      <c r="Q128" s="50" t="str">
        <f t="shared" si="13"/>
        <v/>
      </c>
      <c r="R128" s="47"/>
      <c r="S128" s="42"/>
      <c r="T128" s="48"/>
      <c r="U128" s="44">
        <f t="shared" si="14"/>
        <v>0</v>
      </c>
      <c r="V128" s="49" t="str">
        <f t="shared" si="15"/>
        <v/>
      </c>
      <c r="W128" s="50" t="str">
        <f t="shared" si="16"/>
        <v/>
      </c>
      <c r="X128" s="47"/>
      <c r="Y128" s="42"/>
      <c r="Z128" s="48"/>
      <c r="AA128" s="44">
        <f t="shared" si="17"/>
        <v>0</v>
      </c>
      <c r="AB128" s="49" t="str">
        <f t="shared" si="18"/>
        <v/>
      </c>
      <c r="AC128" s="50" t="str">
        <f t="shared" si="19"/>
        <v/>
      </c>
    </row>
    <row r="129" spans="1:29">
      <c r="A129" s="51">
        <f>A127+1</f>
        <v>39</v>
      </c>
      <c r="B129" s="52" t="str">
        <f>[1]!ArticleCode(Art_10.24.10.)</f>
        <v>10.24.10.</v>
      </c>
      <c r="C129" s="53" t="str">
        <f>[1]!ArticleDescription(Art_10.24.10.)</f>
        <v>uitgraving bouwputten - afgraven &amp; uitdiepen bestaande vloer –30cm diep (enkel afvoer gronden, werken door bouwteam)</v>
      </c>
      <c r="D129" s="42" t="str">
        <f>[1]!ArticleMeasureType(Art_10.24.10.)</f>
        <v>FH</v>
      </c>
      <c r="E129" s="42" t="str">
        <f>[1]!ArticleMeasureUnit(Art_10.24.10.)</f>
        <v>m2</v>
      </c>
      <c r="F129" s="61">
        <f>[1]!ArticleQuantity(Art_10.24.10.)</f>
        <v>69</v>
      </c>
      <c r="G129" s="42"/>
      <c r="H129" s="44"/>
      <c r="I129" s="44">
        <f>IF(RIGHT($D129,1)="-","************",ROUND(IF(NOT(ISNUMBER(G129)),IF(NOT(ISNUMBER(F129)),1,F129),G129)*H129,2))</f>
        <v>0</v>
      </c>
      <c r="J129" s="45"/>
      <c r="K129" s="46"/>
      <c r="L129" s="47"/>
      <c r="M129" s="42"/>
      <c r="N129" s="48"/>
      <c r="O129" s="44">
        <f t="shared" si="11"/>
        <v>0</v>
      </c>
      <c r="P129" s="49" t="str">
        <f t="shared" si="12"/>
        <v/>
      </c>
      <c r="Q129" s="50" t="str">
        <f t="shared" si="13"/>
        <v/>
      </c>
      <c r="R129" s="47"/>
      <c r="S129" s="42"/>
      <c r="T129" s="48"/>
      <c r="U129" s="44">
        <f t="shared" si="14"/>
        <v>0</v>
      </c>
      <c r="V129" s="49" t="str">
        <f t="shared" si="15"/>
        <v/>
      </c>
      <c r="W129" s="50" t="str">
        <f t="shared" si="16"/>
        <v/>
      </c>
      <c r="X129" s="47"/>
      <c r="Y129" s="42"/>
      <c r="Z129" s="48"/>
      <c r="AA129" s="44">
        <f t="shared" si="17"/>
        <v>0</v>
      </c>
      <c r="AB129" s="49" t="str">
        <f t="shared" si="18"/>
        <v/>
      </c>
      <c r="AC129" s="50" t="str">
        <f t="shared" si="19"/>
        <v/>
      </c>
    </row>
    <row r="130" spans="1:29">
      <c r="A130" s="51">
        <f>A129+1</f>
        <v>40</v>
      </c>
      <c r="B130" s="52" t="str">
        <f>[1]!ArticleCode(Art_10.24.20.)</f>
        <v>10.24.20.</v>
      </c>
      <c r="C130" s="53" t="str">
        <f>[1]!ArticleDescription(Art_10.24.20.)</f>
        <v>uitgraving bouwputten - afgraven &amp; uitdiepen bestaande vloer – 60cm diep (enkel afvoer gronden, werken door bouwteam)</v>
      </c>
      <c r="D130" s="42" t="str">
        <f>[1]!ArticleMeasureType(Art_10.24.20.)</f>
        <v>FH</v>
      </c>
      <c r="E130" s="42" t="str">
        <f>[1]!ArticleMeasureUnit(Art_10.24.20.)</f>
        <v>m2</v>
      </c>
      <c r="F130" s="61">
        <f>[1]!ArticleQuantity(Art_10.24.20.)</f>
        <v>24</v>
      </c>
      <c r="G130" s="42"/>
      <c r="H130" s="44"/>
      <c r="I130" s="44">
        <f>IF(RIGHT($D130,1)="-","************",ROUND(IF(NOT(ISNUMBER(G130)),IF(NOT(ISNUMBER(F130)),1,F130),G130)*H130,2))</f>
        <v>0</v>
      </c>
      <c r="J130" s="45"/>
      <c r="K130" s="46"/>
      <c r="L130" s="47"/>
      <c r="M130" s="42"/>
      <c r="N130" s="48"/>
      <c r="O130" s="44">
        <f t="shared" si="11"/>
        <v>0</v>
      </c>
      <c r="P130" s="49" t="str">
        <f t="shared" si="12"/>
        <v/>
      </c>
      <c r="Q130" s="50" t="str">
        <f t="shared" si="13"/>
        <v/>
      </c>
      <c r="R130" s="47"/>
      <c r="S130" s="42"/>
      <c r="T130" s="48"/>
      <c r="U130" s="44">
        <f t="shared" si="14"/>
        <v>0</v>
      </c>
      <c r="V130" s="49" t="str">
        <f t="shared" si="15"/>
        <v/>
      </c>
      <c r="W130" s="50" t="str">
        <f t="shared" si="16"/>
        <v/>
      </c>
      <c r="X130" s="47"/>
      <c r="Y130" s="42"/>
      <c r="Z130" s="48"/>
      <c r="AA130" s="44">
        <f t="shared" si="17"/>
        <v>0</v>
      </c>
      <c r="AB130" s="49" t="str">
        <f t="shared" si="18"/>
        <v/>
      </c>
      <c r="AC130" s="50" t="str">
        <f t="shared" si="19"/>
        <v/>
      </c>
    </row>
    <row r="131" spans="1:29">
      <c r="B131" s="54"/>
      <c r="C131" s="55"/>
      <c r="D131" s="56"/>
      <c r="E131" s="55"/>
      <c r="F131" s="55"/>
      <c r="G131" s="55"/>
      <c r="H131" s="57"/>
      <c r="I131" s="57"/>
      <c r="J131" s="58">
        <f>SUBTOTAL(9,I123:I130)</f>
        <v>0</v>
      </c>
      <c r="K131" s="46"/>
      <c r="L131" s="47"/>
      <c r="M131" s="42"/>
      <c r="N131" s="48"/>
      <c r="O131" s="44">
        <f t="shared" si="11"/>
        <v>0</v>
      </c>
      <c r="P131" s="49" t="str">
        <f t="shared" si="12"/>
        <v/>
      </c>
      <c r="Q131" s="50" t="str">
        <f t="shared" si="13"/>
        <v/>
      </c>
      <c r="R131" s="47"/>
      <c r="S131" s="42"/>
      <c r="T131" s="48"/>
      <c r="U131" s="44">
        <f t="shared" si="14"/>
        <v>0</v>
      </c>
      <c r="V131" s="49" t="str">
        <f t="shared" si="15"/>
        <v/>
      </c>
      <c r="W131" s="50" t="str">
        <f t="shared" si="16"/>
        <v/>
      </c>
      <c r="X131" s="47"/>
      <c r="Y131" s="42"/>
      <c r="Z131" s="48"/>
      <c r="AA131" s="44">
        <f t="shared" si="17"/>
        <v>0</v>
      </c>
      <c r="AB131" s="49" t="str">
        <f t="shared" si="18"/>
        <v/>
      </c>
      <c r="AC131" s="50" t="str">
        <f t="shared" si="19"/>
        <v/>
      </c>
    </row>
    <row r="132" spans="1:29">
      <c r="B132" s="59"/>
      <c r="C132" s="42"/>
      <c r="D132" s="42"/>
      <c r="E132" s="42"/>
      <c r="F132" s="42"/>
      <c r="G132" s="42"/>
      <c r="H132" s="44"/>
      <c r="I132" s="44"/>
      <c r="J132" s="45"/>
      <c r="K132" s="46"/>
      <c r="L132" s="47"/>
      <c r="M132" s="42"/>
      <c r="N132" s="48"/>
      <c r="O132" s="44">
        <f t="shared" si="11"/>
        <v>0</v>
      </c>
      <c r="P132" s="49" t="str">
        <f t="shared" si="12"/>
        <v/>
      </c>
      <c r="Q132" s="50" t="str">
        <f t="shared" si="13"/>
        <v/>
      </c>
      <c r="R132" s="47"/>
      <c r="S132" s="42"/>
      <c r="T132" s="48"/>
      <c r="U132" s="44">
        <f t="shared" si="14"/>
        <v>0</v>
      </c>
      <c r="V132" s="49" t="str">
        <f t="shared" si="15"/>
        <v/>
      </c>
      <c r="W132" s="50" t="str">
        <f t="shared" si="16"/>
        <v/>
      </c>
      <c r="X132" s="47"/>
      <c r="Y132" s="42"/>
      <c r="Z132" s="48"/>
      <c r="AA132" s="44">
        <f t="shared" si="17"/>
        <v>0</v>
      </c>
      <c r="AB132" s="49" t="str">
        <f t="shared" si="18"/>
        <v/>
      </c>
      <c r="AC132" s="50" t="str">
        <f t="shared" si="19"/>
        <v/>
      </c>
    </row>
    <row r="133" spans="1:29">
      <c r="B133" s="41" t="s">
        <v>391</v>
      </c>
      <c r="C133" s="42"/>
      <c r="D133" s="43"/>
      <c r="E133" s="42"/>
      <c r="F133" s="42"/>
      <c r="G133" s="42"/>
      <c r="H133" s="44"/>
      <c r="I133" s="44"/>
      <c r="J133" s="45"/>
      <c r="K133" s="46"/>
      <c r="L133" s="47"/>
      <c r="M133" s="42"/>
      <c r="N133" s="48"/>
      <c r="O133" s="44">
        <f t="shared" si="11"/>
        <v>0</v>
      </c>
      <c r="P133" s="49" t="str">
        <f t="shared" si="12"/>
        <v/>
      </c>
      <c r="Q133" s="50" t="str">
        <f t="shared" si="13"/>
        <v/>
      </c>
      <c r="R133" s="47"/>
      <c r="S133" s="42"/>
      <c r="T133" s="48"/>
      <c r="U133" s="44">
        <f t="shared" si="14"/>
        <v>0</v>
      </c>
      <c r="V133" s="49" t="str">
        <f t="shared" si="15"/>
        <v/>
      </c>
      <c r="W133" s="50" t="str">
        <f t="shared" si="16"/>
        <v/>
      </c>
      <c r="X133" s="47"/>
      <c r="Y133" s="42"/>
      <c r="Z133" s="48"/>
      <c r="AA133" s="44">
        <f t="shared" si="17"/>
        <v>0</v>
      </c>
      <c r="AB133" s="49" t="str">
        <f t="shared" si="18"/>
        <v/>
      </c>
      <c r="AC133" s="50" t="str">
        <f t="shared" si="19"/>
        <v/>
      </c>
    </row>
    <row r="134" spans="1:29">
      <c r="B134" s="52" t="str">
        <f>[1]!ArticleCode(Art_15.)</f>
        <v>15.</v>
      </c>
      <c r="C134" s="53" t="str">
        <f>[1]!ArticleDescription(Art_15.)</f>
        <v>VLOERLAGEN ONDERBOUW</v>
      </c>
      <c r="D134" s="42"/>
      <c r="E134" s="42"/>
      <c r="F134" s="42"/>
      <c r="G134" s="42"/>
      <c r="H134" s="44"/>
      <c r="I134" s="44"/>
      <c r="J134" s="45"/>
      <c r="K134" s="46"/>
      <c r="L134" s="47"/>
      <c r="M134" s="42"/>
      <c r="N134" s="48"/>
      <c r="O134" s="44">
        <f t="shared" si="11"/>
        <v>0</v>
      </c>
      <c r="P134" s="49" t="str">
        <f t="shared" si="12"/>
        <v/>
      </c>
      <c r="Q134" s="50" t="str">
        <f t="shared" si="13"/>
        <v/>
      </c>
      <c r="R134" s="47"/>
      <c r="S134" s="42"/>
      <c r="T134" s="48"/>
      <c r="U134" s="44">
        <f t="shared" si="14"/>
        <v>0</v>
      </c>
      <c r="V134" s="49" t="str">
        <f t="shared" si="15"/>
        <v/>
      </c>
      <c r="W134" s="50" t="str">
        <f t="shared" si="16"/>
        <v/>
      </c>
      <c r="X134" s="47"/>
      <c r="Y134" s="42"/>
      <c r="Z134" s="48"/>
      <c r="AA134" s="44">
        <f t="shared" si="17"/>
        <v>0</v>
      </c>
      <c r="AB134" s="49" t="str">
        <f t="shared" si="18"/>
        <v/>
      </c>
      <c r="AC134" s="50" t="str">
        <f t="shared" si="19"/>
        <v/>
      </c>
    </row>
    <row r="135" spans="1:29">
      <c r="B135" s="52" t="str">
        <f>[1]!ArticleCode(Art_15.00.)</f>
        <v>15.00.</v>
      </c>
      <c r="C135" s="53" t="str">
        <f>[1]!ArticleDescription(Art_15.00.)</f>
        <v>vloerlagen onderbouw - algemeen</v>
      </c>
      <c r="D135" s="42"/>
      <c r="E135" s="42"/>
      <c r="F135" s="42"/>
      <c r="G135" s="42"/>
      <c r="H135" s="44"/>
      <c r="I135" s="44"/>
      <c r="J135" s="45"/>
      <c r="K135" s="46"/>
      <c r="L135" s="47"/>
      <c r="M135" s="42"/>
      <c r="N135" s="48"/>
      <c r="O135" s="44">
        <f t="shared" si="11"/>
        <v>0</v>
      </c>
      <c r="P135" s="49" t="str">
        <f t="shared" si="12"/>
        <v/>
      </c>
      <c r="Q135" s="50" t="str">
        <f t="shared" si="13"/>
        <v/>
      </c>
      <c r="R135" s="47"/>
      <c r="S135" s="42"/>
      <c r="T135" s="48"/>
      <c r="U135" s="44">
        <f t="shared" si="14"/>
        <v>0</v>
      </c>
      <c r="V135" s="49" t="str">
        <f t="shared" si="15"/>
        <v/>
      </c>
      <c r="W135" s="50" t="str">
        <f t="shared" si="16"/>
        <v/>
      </c>
      <c r="X135" s="47"/>
      <c r="Y135" s="42"/>
      <c r="Z135" s="48"/>
      <c r="AA135" s="44">
        <f t="shared" si="17"/>
        <v>0</v>
      </c>
      <c r="AB135" s="49" t="str">
        <f t="shared" si="18"/>
        <v/>
      </c>
      <c r="AC135" s="50" t="str">
        <f t="shared" si="19"/>
        <v/>
      </c>
    </row>
    <row r="136" spans="1:29">
      <c r="B136" s="52" t="str">
        <f>[1]!ArticleCode(Art_15.20.)</f>
        <v>15.20.</v>
      </c>
      <c r="C136" s="53" t="str">
        <f>[1]!ArticleDescription(Art_15.20.)</f>
        <v>draagvloeren op volle grond - algemeen</v>
      </c>
      <c r="D136" s="42"/>
      <c r="E136" s="42"/>
      <c r="F136" s="42"/>
      <c r="G136" s="42"/>
      <c r="H136" s="44"/>
      <c r="I136" s="44"/>
      <c r="J136" s="45"/>
      <c r="K136" s="46"/>
      <c r="L136" s="47"/>
      <c r="M136" s="42"/>
      <c r="N136" s="48"/>
      <c r="O136" s="44">
        <f t="shared" si="11"/>
        <v>0</v>
      </c>
      <c r="P136" s="49" t="str">
        <f t="shared" si="12"/>
        <v/>
      </c>
      <c r="Q136" s="50" t="str">
        <f t="shared" si="13"/>
        <v/>
      </c>
      <c r="R136" s="47"/>
      <c r="S136" s="42"/>
      <c r="T136" s="48"/>
      <c r="U136" s="44">
        <f t="shared" si="14"/>
        <v>0</v>
      </c>
      <c r="V136" s="49" t="str">
        <f t="shared" si="15"/>
        <v/>
      </c>
      <c r="W136" s="50" t="str">
        <f t="shared" si="16"/>
        <v/>
      </c>
      <c r="X136" s="47"/>
      <c r="Y136" s="42"/>
      <c r="Z136" s="48"/>
      <c r="AA136" s="44">
        <f t="shared" si="17"/>
        <v>0</v>
      </c>
      <c r="AB136" s="49" t="str">
        <f t="shared" si="18"/>
        <v/>
      </c>
      <c r="AC136" s="50" t="str">
        <f t="shared" si="19"/>
        <v/>
      </c>
    </row>
    <row r="137" spans="1:29">
      <c r="A137" s="51">
        <f>A130+1</f>
        <v>41</v>
      </c>
      <c r="B137" s="52" t="str">
        <f>[1]!ArticleCode(Art_15.21.)</f>
        <v>15.21.</v>
      </c>
      <c r="C137" s="53" t="str">
        <f>[1]!ArticleDescription(Art_15.21.)</f>
        <v>draagvloeren op volle grond - stortklaar gewapend beton 15cm / gepolierd (plaatsing netten door bouwteam)</v>
      </c>
      <c r="D137" s="42" t="str">
        <f>[1]!ArticleMeasureType(Art_15.21.)</f>
        <v>FH</v>
      </c>
      <c r="E137" s="42" t="str">
        <f>[1]!ArticleMeasureUnit(Art_15.21.)</f>
        <v>m2</v>
      </c>
      <c r="F137" s="61">
        <f>[1]!ArticleQuantity(Art_15.21.)</f>
        <v>219.56</v>
      </c>
      <c r="G137" s="42"/>
      <c r="H137" s="44"/>
      <c r="I137" s="44">
        <f>IF(RIGHT($D137,1)="-","************",ROUND(IF(NOT(ISNUMBER(G137)),IF(NOT(ISNUMBER(F137)),1,F137),G137)*H137,2))</f>
        <v>0</v>
      </c>
      <c r="J137" s="45"/>
      <c r="K137" s="46"/>
      <c r="L137" s="47"/>
      <c r="M137" s="42"/>
      <c r="N137" s="48"/>
      <c r="O137" s="44">
        <f t="shared" si="11"/>
        <v>0</v>
      </c>
      <c r="P137" s="49" t="str">
        <f t="shared" si="12"/>
        <v/>
      </c>
      <c r="Q137" s="50" t="str">
        <f t="shared" si="13"/>
        <v/>
      </c>
      <c r="R137" s="47"/>
      <c r="S137" s="42"/>
      <c r="T137" s="48"/>
      <c r="U137" s="44">
        <f t="shared" si="14"/>
        <v>0</v>
      </c>
      <c r="V137" s="49" t="str">
        <f t="shared" si="15"/>
        <v/>
      </c>
      <c r="W137" s="50" t="str">
        <f t="shared" si="16"/>
        <v/>
      </c>
      <c r="X137" s="47"/>
      <c r="Y137" s="42"/>
      <c r="Z137" s="48"/>
      <c r="AA137" s="44">
        <f t="shared" si="17"/>
        <v>0</v>
      </c>
      <c r="AB137" s="49" t="str">
        <f t="shared" si="18"/>
        <v/>
      </c>
      <c r="AC137" s="50" t="str">
        <f t="shared" si="19"/>
        <v/>
      </c>
    </row>
    <row r="138" spans="1:29">
      <c r="B138" s="52" t="str">
        <f>[1]!ArticleCode(Art_15.30.)</f>
        <v>15.30.</v>
      </c>
      <c r="C138" s="53" t="str">
        <f>[1]!ArticleDescription(Art_15.30.)</f>
        <v>vochtwerende lagen - algemeen</v>
      </c>
      <c r="D138" s="42"/>
      <c r="E138" s="42"/>
      <c r="F138" s="42"/>
      <c r="G138" s="42"/>
      <c r="H138" s="44"/>
      <c r="I138" s="44"/>
      <c r="J138" s="45"/>
      <c r="K138" s="46"/>
      <c r="L138" s="47"/>
      <c r="M138" s="42"/>
      <c r="N138" s="48"/>
      <c r="O138" s="44">
        <f t="shared" ref="O138:O201" si="20">IF(MID($D138,3,1)="-","*********",ROUND(IF(NOT(ISNUMBER($G138)),IF(NOT(ISNUMBER($F138)),1,$F138),$G138)*(IF(NOT(ISNUMBER(N138)),L138,N138)),2))</f>
        <v>0</v>
      </c>
      <c r="P138" s="49" t="str">
        <f t="shared" ref="P138:P201" si="21">IF(O$246=0,"",O138/O$246)</f>
        <v/>
      </c>
      <c r="Q138" s="50" t="str">
        <f t="shared" ref="Q138:Q201" si="22">IF($K138=0,"",IF(NOT(ISNUMBER(N138)),L138,N138)/$K138-1)</f>
        <v/>
      </c>
      <c r="R138" s="47"/>
      <c r="S138" s="42"/>
      <c r="T138" s="48"/>
      <c r="U138" s="44">
        <f t="shared" ref="U138:U201" si="23">IF(MID($D138,3,1)="-","*********",ROUND(IF(NOT(ISNUMBER($G138)),IF(NOT(ISNUMBER($F138)),1,$F138),$G138)*(IF(NOT(ISNUMBER(T138)),R138,T138)),2))</f>
        <v>0</v>
      </c>
      <c r="V138" s="49" t="str">
        <f t="shared" ref="V138:V201" si="24">IF(U$246=0,"",U138/U$246)</f>
        <v/>
      </c>
      <c r="W138" s="50" t="str">
        <f t="shared" ref="W138:W201" si="25">IF($K138=0,"",IF(NOT(ISNUMBER(T138)),R138,T138)/$K138-1)</f>
        <v/>
      </c>
      <c r="X138" s="47"/>
      <c r="Y138" s="42"/>
      <c r="Z138" s="48"/>
      <c r="AA138" s="44">
        <f t="shared" ref="AA138:AA201" si="26">IF(MID($D138,3,1)="-","*********",ROUND(IF(NOT(ISNUMBER($G138)),IF(NOT(ISNUMBER($F138)),1,$F138),$G138)*(IF(NOT(ISNUMBER(Z138)),X138,Z138)),2))</f>
        <v>0</v>
      </c>
      <c r="AB138" s="49" t="str">
        <f t="shared" ref="AB138:AB201" si="27">IF(AA$246=0,"",AA138/AA$246)</f>
        <v/>
      </c>
      <c r="AC138" s="50" t="str">
        <f t="shared" ref="AC138:AC201" si="28">IF($K138=0,"",IF(NOT(ISNUMBER(Z138)),X138,Z138)/$K138-1)</f>
        <v/>
      </c>
    </row>
    <row r="139" spans="1:29">
      <c r="B139" s="52" t="str">
        <f>[1]!ArticleCode(Art_15.31.)</f>
        <v>15.31.</v>
      </c>
      <c r="C139" s="53" t="str">
        <f>[1]!ArticleDescription(Art_15.31.)</f>
        <v>vochtwerende lagen - folies</v>
      </c>
      <c r="D139" s="42"/>
      <c r="E139" s="42"/>
      <c r="F139" s="42"/>
      <c r="G139" s="42"/>
      <c r="H139" s="44"/>
      <c r="I139" s="44"/>
      <c r="J139" s="45"/>
      <c r="K139" s="46"/>
      <c r="L139" s="47"/>
      <c r="M139" s="42"/>
      <c r="N139" s="48"/>
      <c r="O139" s="44">
        <f t="shared" si="20"/>
        <v>0</v>
      </c>
      <c r="P139" s="49" t="str">
        <f t="shared" si="21"/>
        <v/>
      </c>
      <c r="Q139" s="50" t="str">
        <f t="shared" si="22"/>
        <v/>
      </c>
      <c r="R139" s="47"/>
      <c r="S139" s="42"/>
      <c r="T139" s="48"/>
      <c r="U139" s="44">
        <f t="shared" si="23"/>
        <v>0</v>
      </c>
      <c r="V139" s="49" t="str">
        <f t="shared" si="24"/>
        <v/>
      </c>
      <c r="W139" s="50" t="str">
        <f t="shared" si="25"/>
        <v/>
      </c>
      <c r="X139" s="47"/>
      <c r="Y139" s="42"/>
      <c r="Z139" s="48"/>
      <c r="AA139" s="44">
        <f t="shared" si="26"/>
        <v>0</v>
      </c>
      <c r="AB139" s="49" t="str">
        <f t="shared" si="27"/>
        <v/>
      </c>
      <c r="AC139" s="50" t="str">
        <f t="shared" si="28"/>
        <v/>
      </c>
    </row>
    <row r="140" spans="1:29">
      <c r="A140" s="51">
        <f>A137+1</f>
        <v>42</v>
      </c>
      <c r="B140" s="52" t="str">
        <f>[1]!ArticleCode(Art_15.31.10.)</f>
        <v>15.31.10.</v>
      </c>
      <c r="C140" s="53" t="str">
        <f>[1]!ArticleDescription(Art_15.31.10.)</f>
        <v>vochtwerende lagen – folies/PE (plaatsing door bouwteam)</v>
      </c>
      <c r="D140" s="42" t="str">
        <f>[1]!ArticleMeasureType(Art_15.31.10.)</f>
        <v>PM</v>
      </c>
      <c r="E140" s="42" t="str">
        <f>[1]!ArticleMeasureUnit(Art_15.31.10.)</f>
        <v/>
      </c>
      <c r="F140" s="60" t="str">
        <f>[1]!ArticleQuantity(Art_15.31.10.)</f>
        <v/>
      </c>
      <c r="G140" s="42"/>
      <c r="H140" s="44"/>
      <c r="I140" s="44">
        <f>IF(RIGHT($D140,1)="-","************",ROUND(IF(NOT(ISNUMBER(G140)),IF(NOT(ISNUMBER(F140)),1,F140),G140)*H140,2))</f>
        <v>0</v>
      </c>
      <c r="J140" s="45"/>
      <c r="K140" s="46"/>
      <c r="L140" s="47"/>
      <c r="M140" s="42"/>
      <c r="N140" s="48"/>
      <c r="O140" s="44">
        <f t="shared" si="20"/>
        <v>0</v>
      </c>
      <c r="P140" s="49" t="str">
        <f t="shared" si="21"/>
        <v/>
      </c>
      <c r="Q140" s="50" t="str">
        <f t="shared" si="22"/>
        <v/>
      </c>
      <c r="R140" s="47"/>
      <c r="S140" s="42"/>
      <c r="T140" s="48"/>
      <c r="U140" s="44">
        <f t="shared" si="23"/>
        <v>0</v>
      </c>
      <c r="V140" s="49" t="str">
        <f t="shared" si="24"/>
        <v/>
      </c>
      <c r="W140" s="50" t="str">
        <f t="shared" si="25"/>
        <v/>
      </c>
      <c r="X140" s="47"/>
      <c r="Y140" s="42"/>
      <c r="Z140" s="48"/>
      <c r="AA140" s="44">
        <f t="shared" si="26"/>
        <v>0</v>
      </c>
      <c r="AB140" s="49" t="str">
        <f t="shared" si="27"/>
        <v/>
      </c>
      <c r="AC140" s="50" t="str">
        <f t="shared" si="28"/>
        <v/>
      </c>
    </row>
    <row r="141" spans="1:29">
      <c r="B141" s="54"/>
      <c r="C141" s="55"/>
      <c r="D141" s="56"/>
      <c r="E141" s="55"/>
      <c r="F141" s="55"/>
      <c r="G141" s="55"/>
      <c r="H141" s="57"/>
      <c r="I141" s="57"/>
      <c r="J141" s="58">
        <f>SUBTOTAL(9,I134:I140)</f>
        <v>0</v>
      </c>
      <c r="K141" s="46"/>
      <c r="L141" s="47"/>
      <c r="M141" s="42"/>
      <c r="N141" s="48"/>
      <c r="O141" s="44">
        <f t="shared" si="20"/>
        <v>0</v>
      </c>
      <c r="P141" s="49" t="str">
        <f t="shared" si="21"/>
        <v/>
      </c>
      <c r="Q141" s="50" t="str">
        <f t="shared" si="22"/>
        <v/>
      </c>
      <c r="R141" s="47"/>
      <c r="S141" s="42"/>
      <c r="T141" s="48"/>
      <c r="U141" s="44">
        <f t="shared" si="23"/>
        <v>0</v>
      </c>
      <c r="V141" s="49" t="str">
        <f t="shared" si="24"/>
        <v/>
      </c>
      <c r="W141" s="50" t="str">
        <f t="shared" si="25"/>
        <v/>
      </c>
      <c r="X141" s="47"/>
      <c r="Y141" s="42"/>
      <c r="Z141" s="48"/>
      <c r="AA141" s="44">
        <f t="shared" si="26"/>
        <v>0</v>
      </c>
      <c r="AB141" s="49" t="str">
        <f t="shared" si="27"/>
        <v/>
      </c>
      <c r="AC141" s="50" t="str">
        <f t="shared" si="28"/>
        <v/>
      </c>
    </row>
    <row r="142" spans="1:29">
      <c r="B142" s="59"/>
      <c r="C142" s="42"/>
      <c r="D142" s="42"/>
      <c r="E142" s="42"/>
      <c r="F142" s="42"/>
      <c r="G142" s="42"/>
      <c r="H142" s="44"/>
      <c r="I142" s="44"/>
      <c r="J142" s="45"/>
      <c r="K142" s="46"/>
      <c r="L142" s="47"/>
      <c r="M142" s="42"/>
      <c r="N142" s="48"/>
      <c r="O142" s="44">
        <f t="shared" si="20"/>
        <v>0</v>
      </c>
      <c r="P142" s="49" t="str">
        <f t="shared" si="21"/>
        <v/>
      </c>
      <c r="Q142" s="50" t="str">
        <f t="shared" si="22"/>
        <v/>
      </c>
      <c r="R142" s="47"/>
      <c r="S142" s="42"/>
      <c r="T142" s="48"/>
      <c r="U142" s="44">
        <f t="shared" si="23"/>
        <v>0</v>
      </c>
      <c r="V142" s="49" t="str">
        <f t="shared" si="24"/>
        <v/>
      </c>
      <c r="W142" s="50" t="str">
        <f t="shared" si="25"/>
        <v/>
      </c>
      <c r="X142" s="47"/>
      <c r="Y142" s="42"/>
      <c r="Z142" s="48"/>
      <c r="AA142" s="44">
        <f t="shared" si="26"/>
        <v>0</v>
      </c>
      <c r="AB142" s="49" t="str">
        <f t="shared" si="27"/>
        <v/>
      </c>
      <c r="AC142" s="50" t="str">
        <f t="shared" si="28"/>
        <v/>
      </c>
    </row>
    <row r="143" spans="1:29">
      <c r="B143" s="41" t="s">
        <v>392</v>
      </c>
      <c r="C143" s="42"/>
      <c r="D143" s="43"/>
      <c r="E143" s="42"/>
      <c r="F143" s="42"/>
      <c r="G143" s="42"/>
      <c r="H143" s="44"/>
      <c r="I143" s="44"/>
      <c r="J143" s="45"/>
      <c r="K143" s="46"/>
      <c r="L143" s="47"/>
      <c r="M143" s="42"/>
      <c r="N143" s="48"/>
      <c r="O143" s="44">
        <f t="shared" si="20"/>
        <v>0</v>
      </c>
      <c r="P143" s="49" t="str">
        <f t="shared" si="21"/>
        <v/>
      </c>
      <c r="Q143" s="50" t="str">
        <f t="shared" si="22"/>
        <v/>
      </c>
      <c r="R143" s="47"/>
      <c r="S143" s="42"/>
      <c r="T143" s="48"/>
      <c r="U143" s="44">
        <f t="shared" si="23"/>
        <v>0</v>
      </c>
      <c r="V143" s="49" t="str">
        <f t="shared" si="24"/>
        <v/>
      </c>
      <c r="W143" s="50" t="str">
        <f t="shared" si="25"/>
        <v/>
      </c>
      <c r="X143" s="47"/>
      <c r="Y143" s="42"/>
      <c r="Z143" s="48"/>
      <c r="AA143" s="44">
        <f t="shared" si="26"/>
        <v>0</v>
      </c>
      <c r="AB143" s="49" t="str">
        <f t="shared" si="27"/>
        <v/>
      </c>
      <c r="AC143" s="50" t="str">
        <f t="shared" si="28"/>
        <v/>
      </c>
    </row>
    <row r="144" spans="1:29">
      <c r="B144" s="52" t="str">
        <f>[1]!ArticleCode(Art_16.)</f>
        <v>16.</v>
      </c>
      <c r="C144" s="53" t="str">
        <f>[1]!ArticleDescription(Art_16.)</f>
        <v>THERMISCHE ISOLATIE ONDERBOUW</v>
      </c>
      <c r="D144" s="42"/>
      <c r="E144" s="42"/>
      <c r="F144" s="42"/>
      <c r="G144" s="42"/>
      <c r="H144" s="44"/>
      <c r="I144" s="44"/>
      <c r="J144" s="45"/>
      <c r="K144" s="46"/>
      <c r="L144" s="47"/>
      <c r="M144" s="42"/>
      <c r="N144" s="48"/>
      <c r="O144" s="44">
        <f t="shared" si="20"/>
        <v>0</v>
      </c>
      <c r="P144" s="49" t="str">
        <f t="shared" si="21"/>
        <v/>
      </c>
      <c r="Q144" s="50" t="str">
        <f t="shared" si="22"/>
        <v/>
      </c>
      <c r="R144" s="47"/>
      <c r="S144" s="42"/>
      <c r="T144" s="48"/>
      <c r="U144" s="44">
        <f t="shared" si="23"/>
        <v>0</v>
      </c>
      <c r="V144" s="49" t="str">
        <f t="shared" si="24"/>
        <v/>
      </c>
      <c r="W144" s="50" t="str">
        <f t="shared" si="25"/>
        <v/>
      </c>
      <c r="X144" s="47"/>
      <c r="Y144" s="42"/>
      <c r="Z144" s="48"/>
      <c r="AA144" s="44">
        <f t="shared" si="26"/>
        <v>0</v>
      </c>
      <c r="AB144" s="49" t="str">
        <f t="shared" si="27"/>
        <v/>
      </c>
      <c r="AC144" s="50" t="str">
        <f t="shared" si="28"/>
        <v/>
      </c>
    </row>
    <row r="145" spans="1:29">
      <c r="B145" s="52" t="str">
        <f>[1]!ArticleCode(Art_16.00.)</f>
        <v>16.00.</v>
      </c>
      <c r="C145" s="53" t="str">
        <f>[1]!ArticleDescription(Art_16.00.)</f>
        <v>thermische isolatie onderbouw – algemeen</v>
      </c>
      <c r="D145" s="42"/>
      <c r="E145" s="42"/>
      <c r="F145" s="42"/>
      <c r="G145" s="42"/>
      <c r="H145" s="44"/>
      <c r="I145" s="44"/>
      <c r="J145" s="45"/>
      <c r="K145" s="46"/>
      <c r="L145" s="47"/>
      <c r="M145" s="42"/>
      <c r="N145" s="48"/>
      <c r="O145" s="44">
        <f t="shared" si="20"/>
        <v>0</v>
      </c>
      <c r="P145" s="49" t="str">
        <f t="shared" si="21"/>
        <v/>
      </c>
      <c r="Q145" s="50" t="str">
        <f t="shared" si="22"/>
        <v/>
      </c>
      <c r="R145" s="47"/>
      <c r="S145" s="42"/>
      <c r="T145" s="48"/>
      <c r="U145" s="44">
        <f t="shared" si="23"/>
        <v>0</v>
      </c>
      <c r="V145" s="49" t="str">
        <f t="shared" si="24"/>
        <v/>
      </c>
      <c r="W145" s="50" t="str">
        <f t="shared" si="25"/>
        <v/>
      </c>
      <c r="X145" s="47"/>
      <c r="Y145" s="42"/>
      <c r="Z145" s="48"/>
      <c r="AA145" s="44">
        <f t="shared" si="26"/>
        <v>0</v>
      </c>
      <c r="AB145" s="49" t="str">
        <f t="shared" si="27"/>
        <v/>
      </c>
      <c r="AC145" s="50" t="str">
        <f t="shared" si="28"/>
        <v/>
      </c>
    </row>
    <row r="146" spans="1:29">
      <c r="B146" s="52" t="str">
        <f>[1]!ArticleCode(Art_16.30.)</f>
        <v>16.30.</v>
      </c>
      <c r="C146" s="53" t="str">
        <f>[1]!ArticleDescription(Art_16.30.)</f>
        <v>isolatiekorrels op volle grond - algemeen</v>
      </c>
      <c r="D146" s="42"/>
      <c r="E146" s="42"/>
      <c r="F146" s="42"/>
      <c r="G146" s="42"/>
      <c r="H146" s="44"/>
      <c r="I146" s="44"/>
      <c r="J146" s="45"/>
      <c r="K146" s="46"/>
      <c r="L146" s="47"/>
      <c r="M146" s="42"/>
      <c r="N146" s="48"/>
      <c r="O146" s="44">
        <f t="shared" si="20"/>
        <v>0</v>
      </c>
      <c r="P146" s="49" t="str">
        <f t="shared" si="21"/>
        <v/>
      </c>
      <c r="Q146" s="50" t="str">
        <f t="shared" si="22"/>
        <v/>
      </c>
      <c r="R146" s="47"/>
      <c r="S146" s="42"/>
      <c r="T146" s="48"/>
      <c r="U146" s="44">
        <f t="shared" si="23"/>
        <v>0</v>
      </c>
      <c r="V146" s="49" t="str">
        <f t="shared" si="24"/>
        <v/>
      </c>
      <c r="W146" s="50" t="str">
        <f t="shared" si="25"/>
        <v/>
      </c>
      <c r="X146" s="47"/>
      <c r="Y146" s="42"/>
      <c r="Z146" s="48"/>
      <c r="AA146" s="44">
        <f t="shared" si="26"/>
        <v>0</v>
      </c>
      <c r="AB146" s="49" t="str">
        <f t="shared" si="27"/>
        <v/>
      </c>
      <c r="AC146" s="50" t="str">
        <f t="shared" si="28"/>
        <v/>
      </c>
    </row>
    <row r="147" spans="1:29">
      <c r="A147" s="51">
        <f>A140+1</f>
        <v>43</v>
      </c>
      <c r="B147" s="52" t="str">
        <f>[1]!ArticleCode(Art_16.31.)</f>
        <v>16.31.</v>
      </c>
      <c r="C147" s="53" t="str">
        <f>[1]!ArticleDescription(Art_16.31.)</f>
        <v>isolatiekorrels op volle gond – glasschuimgranulaten dikte 25cm (incl geotextiel) plaatsing door bouwteam</v>
      </c>
      <c r="D147" s="42" t="str">
        <f>[1]!ArticleMeasureType(Art_16.31.)</f>
        <v>FH</v>
      </c>
      <c r="E147" s="42" t="str">
        <f>[1]!ArticleMeasureUnit(Art_16.31.)</f>
        <v>m3</v>
      </c>
      <c r="F147" s="122">
        <f>[1]!ArticleQuantity(Art_16.31.)</f>
        <v>54.89</v>
      </c>
      <c r="G147" s="42"/>
      <c r="H147" s="44"/>
      <c r="I147" s="44">
        <f>IF(RIGHT($D147,1)="-","************",ROUND(IF(NOT(ISNUMBER(G147)),IF(NOT(ISNUMBER(F147)),1,F147),G147)*H147,2))</f>
        <v>0</v>
      </c>
      <c r="J147" s="45"/>
      <c r="K147" s="46"/>
      <c r="L147" s="47"/>
      <c r="M147" s="42"/>
      <c r="N147" s="48"/>
      <c r="O147" s="44">
        <f t="shared" si="20"/>
        <v>0</v>
      </c>
      <c r="P147" s="49" t="str">
        <f t="shared" si="21"/>
        <v/>
      </c>
      <c r="Q147" s="50" t="str">
        <f t="shared" si="22"/>
        <v/>
      </c>
      <c r="R147" s="47"/>
      <c r="S147" s="42"/>
      <c r="T147" s="48"/>
      <c r="U147" s="44">
        <f t="shared" si="23"/>
        <v>0</v>
      </c>
      <c r="V147" s="49" t="str">
        <f t="shared" si="24"/>
        <v/>
      </c>
      <c r="W147" s="50" t="str">
        <f t="shared" si="25"/>
        <v/>
      </c>
      <c r="X147" s="47"/>
      <c r="Y147" s="42"/>
      <c r="Z147" s="48"/>
      <c r="AA147" s="44">
        <f t="shared" si="26"/>
        <v>0</v>
      </c>
      <c r="AB147" s="49" t="str">
        <f t="shared" si="27"/>
        <v/>
      </c>
      <c r="AC147" s="50" t="str">
        <f t="shared" si="28"/>
        <v/>
      </c>
    </row>
    <row r="148" spans="1:29">
      <c r="B148" s="54"/>
      <c r="C148" s="55"/>
      <c r="D148" s="56"/>
      <c r="E148" s="55"/>
      <c r="F148" s="55"/>
      <c r="G148" s="55"/>
      <c r="H148" s="57"/>
      <c r="I148" s="57"/>
      <c r="J148" s="58">
        <f>SUBTOTAL(9,I144:I147)</f>
        <v>0</v>
      </c>
      <c r="K148" s="46"/>
      <c r="L148" s="47"/>
      <c r="M148" s="42"/>
      <c r="N148" s="48"/>
      <c r="O148" s="44">
        <f t="shared" si="20"/>
        <v>0</v>
      </c>
      <c r="P148" s="49" t="str">
        <f t="shared" si="21"/>
        <v/>
      </c>
      <c r="Q148" s="50" t="str">
        <f t="shared" si="22"/>
        <v/>
      </c>
      <c r="R148" s="47"/>
      <c r="S148" s="42"/>
      <c r="T148" s="48"/>
      <c r="U148" s="44">
        <f t="shared" si="23"/>
        <v>0</v>
      </c>
      <c r="V148" s="49" t="str">
        <f t="shared" si="24"/>
        <v/>
      </c>
      <c r="W148" s="50" t="str">
        <f t="shared" si="25"/>
        <v/>
      </c>
      <c r="X148" s="47"/>
      <c r="Y148" s="42"/>
      <c r="Z148" s="48"/>
      <c r="AA148" s="44">
        <f t="shared" si="26"/>
        <v>0</v>
      </c>
      <c r="AB148" s="49" t="str">
        <f t="shared" si="27"/>
        <v/>
      </c>
      <c r="AC148" s="50" t="str">
        <f t="shared" si="28"/>
        <v/>
      </c>
    </row>
    <row r="149" spans="1:29">
      <c r="B149" s="59"/>
      <c r="C149" s="42"/>
      <c r="D149" s="42"/>
      <c r="E149" s="42"/>
      <c r="F149" s="42"/>
      <c r="G149" s="42"/>
      <c r="H149" s="44"/>
      <c r="I149" s="44"/>
      <c r="J149" s="45"/>
      <c r="K149" s="46"/>
      <c r="L149" s="47"/>
      <c r="M149" s="42"/>
      <c r="N149" s="48"/>
      <c r="O149" s="44">
        <f t="shared" si="20"/>
        <v>0</v>
      </c>
      <c r="P149" s="49" t="str">
        <f t="shared" si="21"/>
        <v/>
      </c>
      <c r="Q149" s="50" t="str">
        <f t="shared" si="22"/>
        <v/>
      </c>
      <c r="R149" s="47"/>
      <c r="S149" s="42"/>
      <c r="T149" s="48"/>
      <c r="U149" s="44">
        <f t="shared" si="23"/>
        <v>0</v>
      </c>
      <c r="V149" s="49" t="str">
        <f t="shared" si="24"/>
        <v/>
      </c>
      <c r="W149" s="50" t="str">
        <f t="shared" si="25"/>
        <v/>
      </c>
      <c r="X149" s="47"/>
      <c r="Y149" s="42"/>
      <c r="Z149" s="48"/>
      <c r="AA149" s="44">
        <f t="shared" si="26"/>
        <v>0</v>
      </c>
      <c r="AB149" s="49" t="str">
        <f t="shared" si="27"/>
        <v/>
      </c>
      <c r="AC149" s="50" t="str">
        <f t="shared" si="28"/>
        <v/>
      </c>
    </row>
    <row r="150" spans="1:29">
      <c r="B150" s="41" t="s">
        <v>393</v>
      </c>
      <c r="C150" s="42"/>
      <c r="D150" s="43"/>
      <c r="E150" s="42"/>
      <c r="F150" s="42"/>
      <c r="G150" s="42"/>
      <c r="H150" s="44"/>
      <c r="I150" s="44"/>
      <c r="J150" s="45"/>
      <c r="K150" s="46"/>
      <c r="L150" s="47"/>
      <c r="M150" s="42"/>
      <c r="N150" s="48"/>
      <c r="O150" s="44">
        <f t="shared" si="20"/>
        <v>0</v>
      </c>
      <c r="P150" s="49" t="str">
        <f t="shared" si="21"/>
        <v/>
      </c>
      <c r="Q150" s="50" t="str">
        <f t="shared" si="22"/>
        <v/>
      </c>
      <c r="R150" s="47"/>
      <c r="S150" s="42"/>
      <c r="T150" s="48"/>
      <c r="U150" s="44">
        <f t="shared" si="23"/>
        <v>0</v>
      </c>
      <c r="V150" s="49" t="str">
        <f t="shared" si="24"/>
        <v/>
      </c>
      <c r="W150" s="50" t="str">
        <f t="shared" si="25"/>
        <v/>
      </c>
      <c r="X150" s="47"/>
      <c r="Y150" s="42"/>
      <c r="Z150" s="48"/>
      <c r="AA150" s="44">
        <f t="shared" si="26"/>
        <v>0</v>
      </c>
      <c r="AB150" s="49" t="str">
        <f t="shared" si="27"/>
        <v/>
      </c>
      <c r="AC150" s="50" t="str">
        <f t="shared" si="28"/>
        <v/>
      </c>
    </row>
    <row r="151" spans="1:29">
      <c r="B151" s="52" t="str">
        <f>[1]!ArticleCode(Art_17.)</f>
        <v>17.</v>
      </c>
      <c r="C151" s="53" t="str">
        <f>[1]!ArticleDescription(Art_17.)</f>
        <v>ONDERGRONDSE LEIDINGEN</v>
      </c>
      <c r="D151" s="42"/>
      <c r="E151" s="42"/>
      <c r="F151" s="42"/>
      <c r="G151" s="42"/>
      <c r="H151" s="44"/>
      <c r="I151" s="44"/>
      <c r="J151" s="45"/>
      <c r="K151" s="46"/>
      <c r="L151" s="47"/>
      <c r="M151" s="42"/>
      <c r="N151" s="48"/>
      <c r="O151" s="44">
        <f t="shared" si="20"/>
        <v>0</v>
      </c>
      <c r="P151" s="49" t="str">
        <f t="shared" si="21"/>
        <v/>
      </c>
      <c r="Q151" s="50" t="str">
        <f t="shared" si="22"/>
        <v/>
      </c>
      <c r="R151" s="47"/>
      <c r="S151" s="42"/>
      <c r="T151" s="48"/>
      <c r="U151" s="44">
        <f t="shared" si="23"/>
        <v>0</v>
      </c>
      <c r="V151" s="49" t="str">
        <f t="shared" si="24"/>
        <v/>
      </c>
      <c r="W151" s="50" t="str">
        <f t="shared" si="25"/>
        <v/>
      </c>
      <c r="X151" s="47"/>
      <c r="Y151" s="42"/>
      <c r="Z151" s="48"/>
      <c r="AA151" s="44">
        <f t="shared" si="26"/>
        <v>0</v>
      </c>
      <c r="AB151" s="49" t="str">
        <f t="shared" si="27"/>
        <v/>
      </c>
      <c r="AC151" s="50" t="str">
        <f t="shared" si="28"/>
        <v/>
      </c>
    </row>
    <row r="152" spans="1:29">
      <c r="B152" s="52" t="str">
        <f>[1]!ArticleCode(Art_17.00.)</f>
        <v>17.00.</v>
      </c>
      <c r="C152" s="53" t="str">
        <f>[1]!ArticleDescription(Art_17.00.)</f>
        <v>ondergrondse leidingen - algemeen</v>
      </c>
      <c r="D152" s="42"/>
      <c r="E152" s="42"/>
      <c r="F152" s="42"/>
      <c r="G152" s="42"/>
      <c r="H152" s="44"/>
      <c r="I152" s="44"/>
      <c r="J152" s="45"/>
      <c r="K152" s="46"/>
      <c r="L152" s="47"/>
      <c r="M152" s="42"/>
      <c r="N152" s="48"/>
      <c r="O152" s="44">
        <f t="shared" si="20"/>
        <v>0</v>
      </c>
      <c r="P152" s="49" t="str">
        <f t="shared" si="21"/>
        <v/>
      </c>
      <c r="Q152" s="50" t="str">
        <f t="shared" si="22"/>
        <v/>
      </c>
      <c r="R152" s="47"/>
      <c r="S152" s="42"/>
      <c r="T152" s="48"/>
      <c r="U152" s="44">
        <f t="shared" si="23"/>
        <v>0</v>
      </c>
      <c r="V152" s="49" t="str">
        <f t="shared" si="24"/>
        <v/>
      </c>
      <c r="W152" s="50" t="str">
        <f t="shared" si="25"/>
        <v/>
      </c>
      <c r="X152" s="47"/>
      <c r="Y152" s="42"/>
      <c r="Z152" s="48"/>
      <c r="AA152" s="44">
        <f t="shared" si="26"/>
        <v>0</v>
      </c>
      <c r="AB152" s="49" t="str">
        <f t="shared" si="27"/>
        <v/>
      </c>
      <c r="AC152" s="50" t="str">
        <f t="shared" si="28"/>
        <v/>
      </c>
    </row>
    <row r="153" spans="1:29">
      <c r="B153" s="52" t="str">
        <f>[1]!ArticleCode(Art_17.10.)</f>
        <v>17.10.</v>
      </c>
      <c r="C153" s="53" t="str">
        <f>[1]!ArticleDescription(Art_17.10.)</f>
        <v>rioolbuizen - algemeen</v>
      </c>
      <c r="D153" s="42"/>
      <c r="E153" s="42"/>
      <c r="F153" s="42"/>
      <c r="G153" s="42"/>
      <c r="H153" s="44"/>
      <c r="I153" s="44"/>
      <c r="J153" s="45"/>
      <c r="K153" s="46"/>
      <c r="L153" s="47"/>
      <c r="M153" s="42"/>
      <c r="N153" s="48"/>
      <c r="O153" s="44">
        <f t="shared" si="20"/>
        <v>0</v>
      </c>
      <c r="P153" s="49" t="str">
        <f t="shared" si="21"/>
        <v/>
      </c>
      <c r="Q153" s="50" t="str">
        <f t="shared" si="22"/>
        <v/>
      </c>
      <c r="R153" s="47"/>
      <c r="S153" s="42"/>
      <c r="T153" s="48"/>
      <c r="U153" s="44">
        <f t="shared" si="23"/>
        <v>0</v>
      </c>
      <c r="V153" s="49" t="str">
        <f t="shared" si="24"/>
        <v/>
      </c>
      <c r="W153" s="50" t="str">
        <f t="shared" si="25"/>
        <v/>
      </c>
      <c r="X153" s="47"/>
      <c r="Y153" s="42"/>
      <c r="Z153" s="48"/>
      <c r="AA153" s="44">
        <f t="shared" si="26"/>
        <v>0</v>
      </c>
      <c r="AB153" s="49" t="str">
        <f t="shared" si="27"/>
        <v/>
      </c>
      <c r="AC153" s="50" t="str">
        <f t="shared" si="28"/>
        <v/>
      </c>
    </row>
    <row r="154" spans="1:29">
      <c r="B154" s="52" t="str">
        <f>[1]!ArticleCode(Art_17.12.)</f>
        <v>17.12.</v>
      </c>
      <c r="C154" s="53" t="str">
        <f>[1]!ArticleDescription(Art_17.12.)</f>
        <v>rioolbuizen – kunststof</v>
      </c>
      <c r="D154" s="42"/>
      <c r="E154" s="42"/>
      <c r="F154" s="42"/>
      <c r="G154" s="42"/>
      <c r="H154" s="44"/>
      <c r="I154" s="44"/>
      <c r="J154" s="45"/>
      <c r="K154" s="46"/>
      <c r="L154" s="47"/>
      <c r="M154" s="42"/>
      <c r="N154" s="48"/>
      <c r="O154" s="44">
        <f t="shared" si="20"/>
        <v>0</v>
      </c>
      <c r="P154" s="49" t="str">
        <f t="shared" si="21"/>
        <v/>
      </c>
      <c r="Q154" s="50" t="str">
        <f t="shared" si="22"/>
        <v/>
      </c>
      <c r="R154" s="47"/>
      <c r="S154" s="42"/>
      <c r="T154" s="48"/>
      <c r="U154" s="44">
        <f t="shared" si="23"/>
        <v>0</v>
      </c>
      <c r="V154" s="49" t="str">
        <f t="shared" si="24"/>
        <v/>
      </c>
      <c r="W154" s="50" t="str">
        <f t="shared" si="25"/>
        <v/>
      </c>
      <c r="X154" s="47"/>
      <c r="Y154" s="42"/>
      <c r="Z154" s="48"/>
      <c r="AA154" s="44">
        <f t="shared" si="26"/>
        <v>0</v>
      </c>
      <c r="AB154" s="49" t="str">
        <f t="shared" si="27"/>
        <v/>
      </c>
      <c r="AC154" s="50" t="str">
        <f t="shared" si="28"/>
        <v/>
      </c>
    </row>
    <row r="155" spans="1:29">
      <c r="B155" s="52" t="str">
        <f>[1]!ArticleCode(Art_17.12.30.)</f>
        <v>17.12.30.</v>
      </c>
      <c r="C155" s="53" t="str">
        <f>[1]!ArticleDescription(Art_17.12.30.)</f>
        <v>rioolbuizen – kunststof/PP</v>
      </c>
      <c r="D155" s="42"/>
      <c r="E155" s="42"/>
      <c r="F155" s="42"/>
      <c r="G155" s="42"/>
      <c r="H155" s="44"/>
      <c r="I155" s="44"/>
      <c r="J155" s="45"/>
      <c r="K155" s="46"/>
      <c r="L155" s="47"/>
      <c r="M155" s="42"/>
      <c r="N155" s="48"/>
      <c r="O155" s="44">
        <f t="shared" si="20"/>
        <v>0</v>
      </c>
      <c r="P155" s="49" t="str">
        <f t="shared" si="21"/>
        <v/>
      </c>
      <c r="Q155" s="50" t="str">
        <f t="shared" si="22"/>
        <v/>
      </c>
      <c r="R155" s="47"/>
      <c r="S155" s="42"/>
      <c r="T155" s="48"/>
      <c r="U155" s="44">
        <f t="shared" si="23"/>
        <v>0</v>
      </c>
      <c r="V155" s="49" t="str">
        <f t="shared" si="24"/>
        <v/>
      </c>
      <c r="W155" s="50" t="str">
        <f t="shared" si="25"/>
        <v/>
      </c>
      <c r="X155" s="47"/>
      <c r="Y155" s="42"/>
      <c r="Z155" s="48"/>
      <c r="AA155" s="44">
        <f t="shared" si="26"/>
        <v>0</v>
      </c>
      <c r="AB155" s="49" t="str">
        <f t="shared" si="27"/>
        <v/>
      </c>
      <c r="AC155" s="50" t="str">
        <f t="shared" si="28"/>
        <v/>
      </c>
    </row>
    <row r="156" spans="1:29">
      <c r="A156" s="51">
        <f>A147+1</f>
        <v>44</v>
      </c>
      <c r="B156" s="52" t="str">
        <f>[1]!ArticleCode(Art_17.12.31.)</f>
        <v>17.12.31.</v>
      </c>
      <c r="C156" s="53" t="str">
        <f>[1]!ArticleDescription(Art_17.12.31.)</f>
        <v>rioolbuizen – kunststof/PP – diam 110 (enkel levering)</v>
      </c>
      <c r="D156" s="42" t="str">
        <f>[1]!ArticleMeasureType(Art_17.12.31.)</f>
        <v>FH</v>
      </c>
      <c r="E156" s="42" t="str">
        <f>[1]!ArticleMeasureUnit(Art_17.12.31.)</f>
        <v>m</v>
      </c>
      <c r="F156" s="61">
        <f>[1]!ArticleQuantity(Art_17.12.31.)</f>
        <v>157</v>
      </c>
      <c r="G156" s="42"/>
      <c r="H156" s="44"/>
      <c r="I156" s="44">
        <f>IF(RIGHT($D156,1)="-","************",ROUND(IF(NOT(ISNUMBER(G156)),IF(NOT(ISNUMBER(F156)),1,F156),G156)*H156,2))</f>
        <v>0</v>
      </c>
      <c r="J156" s="45"/>
      <c r="K156" s="46"/>
      <c r="L156" s="47"/>
      <c r="M156" s="42"/>
      <c r="N156" s="48"/>
      <c r="O156" s="44">
        <f t="shared" si="20"/>
        <v>0</v>
      </c>
      <c r="P156" s="49" t="str">
        <f t="shared" si="21"/>
        <v/>
      </c>
      <c r="Q156" s="50" t="str">
        <f t="shared" si="22"/>
        <v/>
      </c>
      <c r="R156" s="47"/>
      <c r="S156" s="42"/>
      <c r="T156" s="48"/>
      <c r="U156" s="44">
        <f t="shared" si="23"/>
        <v>0</v>
      </c>
      <c r="V156" s="49" t="str">
        <f t="shared" si="24"/>
        <v/>
      </c>
      <c r="W156" s="50" t="str">
        <f t="shared" si="25"/>
        <v/>
      </c>
      <c r="X156" s="47"/>
      <c r="Y156" s="42"/>
      <c r="Z156" s="48"/>
      <c r="AA156" s="44">
        <f t="shared" si="26"/>
        <v>0</v>
      </c>
      <c r="AB156" s="49" t="str">
        <f t="shared" si="27"/>
        <v/>
      </c>
      <c r="AC156" s="50" t="str">
        <f t="shared" si="28"/>
        <v/>
      </c>
    </row>
    <row r="157" spans="1:29">
      <c r="A157" s="51">
        <f>A156+1</f>
        <v>45</v>
      </c>
      <c r="B157" s="52" t="str">
        <f>[1]!ArticleCode(Art_17.12.32.)</f>
        <v>17.12.32.</v>
      </c>
      <c r="C157" s="53" t="str">
        <f>[1]!ArticleDescription(Art_17.12.32.)</f>
        <v>rioolbuizen – kunststof/PP – diam 125 (enkel levering)</v>
      </c>
      <c r="D157" s="42" t="str">
        <f>[1]!ArticleMeasureType(Art_17.12.32.)</f>
        <v>FH</v>
      </c>
      <c r="E157" s="42" t="str">
        <f>[1]!ArticleMeasureUnit(Art_17.12.32.)</f>
        <v>m</v>
      </c>
      <c r="F157" s="61">
        <f>[1]!ArticleQuantity(Art_17.12.32.)</f>
        <v>18</v>
      </c>
      <c r="G157" s="42"/>
      <c r="H157" s="44"/>
      <c r="I157" s="44">
        <f>IF(RIGHT($D157,1)="-","************",ROUND(IF(NOT(ISNUMBER(G157)),IF(NOT(ISNUMBER(F157)),1,F157),G157)*H157,2))</f>
        <v>0</v>
      </c>
      <c r="J157" s="45"/>
      <c r="K157" s="46"/>
      <c r="L157" s="47"/>
      <c r="M157" s="42"/>
      <c r="N157" s="48"/>
      <c r="O157" s="44">
        <f t="shared" si="20"/>
        <v>0</v>
      </c>
      <c r="P157" s="49" t="str">
        <f t="shared" si="21"/>
        <v/>
      </c>
      <c r="Q157" s="50" t="str">
        <f t="shared" si="22"/>
        <v/>
      </c>
      <c r="R157" s="47"/>
      <c r="S157" s="42"/>
      <c r="T157" s="48"/>
      <c r="U157" s="44">
        <f t="shared" si="23"/>
        <v>0</v>
      </c>
      <c r="V157" s="49" t="str">
        <f t="shared" si="24"/>
        <v/>
      </c>
      <c r="W157" s="50" t="str">
        <f t="shared" si="25"/>
        <v/>
      </c>
      <c r="X157" s="47"/>
      <c r="Y157" s="42"/>
      <c r="Z157" s="48"/>
      <c r="AA157" s="44">
        <f t="shared" si="26"/>
        <v>0</v>
      </c>
      <c r="AB157" s="49" t="str">
        <f t="shared" si="27"/>
        <v/>
      </c>
      <c r="AC157" s="50" t="str">
        <f t="shared" si="28"/>
        <v/>
      </c>
    </row>
    <row r="158" spans="1:29">
      <c r="A158" s="51">
        <f>A157+1</f>
        <v>46</v>
      </c>
      <c r="B158" s="52" t="str">
        <f>[1]!ArticleCode(Art_17.12.34.)</f>
        <v>17.12.34.</v>
      </c>
      <c r="C158" s="53" t="str">
        <f>[1]!ArticleDescription(Art_17.12.34.)</f>
        <v>rioolbuizen – kunststof/PP – diam 160 (enkel levering)</v>
      </c>
      <c r="D158" s="42" t="str">
        <f>[1]!ArticleMeasureType(Art_17.12.34.)</f>
        <v>FH</v>
      </c>
      <c r="E158" s="42" t="str">
        <f>[1]!ArticleMeasureUnit(Art_17.12.34.)</f>
        <v>m</v>
      </c>
      <c r="F158" s="61">
        <f>[1]!ArticleQuantity(Art_17.12.34.)</f>
        <v>52</v>
      </c>
      <c r="G158" s="42"/>
      <c r="H158" s="44"/>
      <c r="I158" s="44">
        <f>IF(RIGHT($D158,1)="-","************",ROUND(IF(NOT(ISNUMBER(G158)),IF(NOT(ISNUMBER(F158)),1,F158),G158)*H158,2))</f>
        <v>0</v>
      </c>
      <c r="J158" s="45"/>
      <c r="K158" s="46"/>
      <c r="L158" s="47"/>
      <c r="M158" s="42"/>
      <c r="N158" s="48"/>
      <c r="O158" s="44">
        <f t="shared" si="20"/>
        <v>0</v>
      </c>
      <c r="P158" s="49" t="str">
        <f t="shared" si="21"/>
        <v/>
      </c>
      <c r="Q158" s="50" t="str">
        <f t="shared" si="22"/>
        <v/>
      </c>
      <c r="R158" s="47"/>
      <c r="S158" s="42"/>
      <c r="T158" s="48"/>
      <c r="U158" s="44">
        <f t="shared" si="23"/>
        <v>0</v>
      </c>
      <c r="V158" s="49" t="str">
        <f t="shared" si="24"/>
        <v/>
      </c>
      <c r="W158" s="50" t="str">
        <f t="shared" si="25"/>
        <v/>
      </c>
      <c r="X158" s="47"/>
      <c r="Y158" s="42"/>
      <c r="Z158" s="48"/>
      <c r="AA158" s="44">
        <f t="shared" si="26"/>
        <v>0</v>
      </c>
      <c r="AB158" s="49" t="str">
        <f t="shared" si="27"/>
        <v/>
      </c>
      <c r="AC158" s="50" t="str">
        <f t="shared" si="28"/>
        <v/>
      </c>
    </row>
    <row r="159" spans="1:29">
      <c r="B159" s="52" t="str">
        <f>[1]!ArticleCode(Art_17.34.)</f>
        <v>17.34.</v>
      </c>
      <c r="C159" s="53" t="str">
        <f>[1]!ArticleDescription(Art_17.34.)</f>
        <v>toezichtputten - kunststof</v>
      </c>
      <c r="D159" s="42"/>
      <c r="E159" s="42"/>
      <c r="F159" s="42"/>
      <c r="G159" s="42"/>
      <c r="H159" s="44"/>
      <c r="I159" s="44"/>
      <c r="J159" s="45"/>
      <c r="K159" s="46"/>
      <c r="L159" s="47"/>
      <c r="M159" s="42"/>
      <c r="N159" s="48"/>
      <c r="O159" s="44">
        <f t="shared" si="20"/>
        <v>0</v>
      </c>
      <c r="P159" s="49" t="str">
        <f t="shared" si="21"/>
        <v/>
      </c>
      <c r="Q159" s="50" t="str">
        <f t="shared" si="22"/>
        <v/>
      </c>
      <c r="R159" s="47"/>
      <c r="S159" s="42"/>
      <c r="T159" s="48"/>
      <c r="U159" s="44">
        <f t="shared" si="23"/>
        <v>0</v>
      </c>
      <c r="V159" s="49" t="str">
        <f t="shared" si="24"/>
        <v/>
      </c>
      <c r="W159" s="50" t="str">
        <f t="shared" si="25"/>
        <v/>
      </c>
      <c r="X159" s="47"/>
      <c r="Y159" s="42"/>
      <c r="Z159" s="48"/>
      <c r="AA159" s="44">
        <f t="shared" si="26"/>
        <v>0</v>
      </c>
      <c r="AB159" s="49" t="str">
        <f t="shared" si="27"/>
        <v/>
      </c>
      <c r="AC159" s="50" t="str">
        <f t="shared" si="28"/>
        <v/>
      </c>
    </row>
    <row r="160" spans="1:29">
      <c r="B160" s="52" t="str">
        <f>[1]!ArticleCode(Art_17.34.10.)</f>
        <v>17.34.10.</v>
      </c>
      <c r="C160" s="53" t="str">
        <f>[1]!ArticleDescription(Art_17.34.10.)</f>
        <v>toezichtputten – kunststof/PVC</v>
      </c>
      <c r="D160" s="42"/>
      <c r="E160" s="42"/>
      <c r="F160" s="42"/>
      <c r="G160" s="42"/>
      <c r="H160" s="44"/>
      <c r="I160" s="44"/>
      <c r="J160" s="45"/>
      <c r="K160" s="46"/>
      <c r="L160" s="47"/>
      <c r="M160" s="42"/>
      <c r="N160" s="48"/>
      <c r="O160" s="44">
        <f t="shared" si="20"/>
        <v>0</v>
      </c>
      <c r="P160" s="49" t="str">
        <f t="shared" si="21"/>
        <v/>
      </c>
      <c r="Q160" s="50" t="str">
        <f t="shared" si="22"/>
        <v/>
      </c>
      <c r="R160" s="47"/>
      <c r="S160" s="42"/>
      <c r="T160" s="48"/>
      <c r="U160" s="44">
        <f t="shared" si="23"/>
        <v>0</v>
      </c>
      <c r="V160" s="49" t="str">
        <f t="shared" si="24"/>
        <v/>
      </c>
      <c r="W160" s="50" t="str">
        <f t="shared" si="25"/>
        <v/>
      </c>
      <c r="X160" s="47"/>
      <c r="Y160" s="42"/>
      <c r="Z160" s="48"/>
      <c r="AA160" s="44">
        <f t="shared" si="26"/>
        <v>0</v>
      </c>
      <c r="AB160" s="49" t="str">
        <f t="shared" si="27"/>
        <v/>
      </c>
      <c r="AC160" s="50" t="str">
        <f t="shared" si="28"/>
        <v/>
      </c>
    </row>
    <row r="161" spans="1:29">
      <c r="A161" s="51">
        <f>A158+1</f>
        <v>47</v>
      </c>
      <c r="B161" s="52" t="str">
        <f>[1]!ArticleCode(Art_17.34.12.)</f>
        <v>17.34.12.</v>
      </c>
      <c r="C161" s="53" t="str">
        <f>[1]!ArticleDescription(Art_17.34.12.)</f>
        <v>toezichtputten – kunststof/PVC – 2 x Ø400 met sifon (enkel levering)</v>
      </c>
      <c r="D161" s="42" t="str">
        <f>[1]!ArticleMeasureType(Art_17.34.12.)</f>
        <v>FH</v>
      </c>
      <c r="E161" s="42" t="str">
        <f>[1]!ArticleMeasureUnit(Art_17.34.12.)</f>
        <v>st</v>
      </c>
      <c r="F161" s="60">
        <f>[1]!ArticleQuantity(Art_17.34.12.)</f>
        <v>1</v>
      </c>
      <c r="G161" s="42"/>
      <c r="H161" s="44"/>
      <c r="I161" s="44">
        <f>IF(RIGHT($D161,1)="-","************",ROUND(IF(NOT(ISNUMBER(G161)),IF(NOT(ISNUMBER(F161)),1,F161),G161)*H161,2))</f>
        <v>0</v>
      </c>
      <c r="J161" s="45"/>
      <c r="K161" s="46"/>
      <c r="L161" s="47"/>
      <c r="M161" s="42"/>
      <c r="N161" s="48"/>
      <c r="O161" s="44">
        <f t="shared" si="20"/>
        <v>0</v>
      </c>
      <c r="P161" s="49" t="str">
        <f t="shared" si="21"/>
        <v/>
      </c>
      <c r="Q161" s="50" t="str">
        <f t="shared" si="22"/>
        <v/>
      </c>
      <c r="R161" s="47"/>
      <c r="S161" s="42"/>
      <c r="T161" s="48"/>
      <c r="U161" s="44">
        <f t="shared" si="23"/>
        <v>0</v>
      </c>
      <c r="V161" s="49" t="str">
        <f t="shared" si="24"/>
        <v/>
      </c>
      <c r="W161" s="50" t="str">
        <f t="shared" si="25"/>
        <v/>
      </c>
      <c r="X161" s="47"/>
      <c r="Y161" s="42"/>
      <c r="Z161" s="48"/>
      <c r="AA161" s="44">
        <f t="shared" si="26"/>
        <v>0</v>
      </c>
      <c r="AB161" s="49" t="str">
        <f t="shared" si="27"/>
        <v/>
      </c>
      <c r="AC161" s="50" t="str">
        <f t="shared" si="28"/>
        <v/>
      </c>
    </row>
    <row r="162" spans="1:29">
      <c r="B162" s="52" t="str">
        <f>[1]!ArticleCode(Art_17.60.)</f>
        <v>17.60.</v>
      </c>
      <c r="C162" s="53" t="str">
        <f>[1]!ArticleDescription(Art_17.60.)</f>
        <v>afvalwaterbehandeling - algemeen</v>
      </c>
      <c r="D162" s="42"/>
      <c r="E162" s="42"/>
      <c r="F162" s="42"/>
      <c r="G162" s="42"/>
      <c r="H162" s="44"/>
      <c r="I162" s="44"/>
      <c r="J162" s="45"/>
      <c r="K162" s="46"/>
      <c r="L162" s="47"/>
      <c r="M162" s="42"/>
      <c r="N162" s="48"/>
      <c r="O162" s="44">
        <f t="shared" si="20"/>
        <v>0</v>
      </c>
      <c r="P162" s="49" t="str">
        <f t="shared" si="21"/>
        <v/>
      </c>
      <c r="Q162" s="50" t="str">
        <f t="shared" si="22"/>
        <v/>
      </c>
      <c r="R162" s="47"/>
      <c r="S162" s="42"/>
      <c r="T162" s="48"/>
      <c r="U162" s="44">
        <f t="shared" si="23"/>
        <v>0</v>
      </c>
      <c r="V162" s="49" t="str">
        <f t="shared" si="24"/>
        <v/>
      </c>
      <c r="W162" s="50" t="str">
        <f t="shared" si="25"/>
        <v/>
      </c>
      <c r="X162" s="47"/>
      <c r="Y162" s="42"/>
      <c r="Z162" s="48"/>
      <c r="AA162" s="44">
        <f t="shared" si="26"/>
        <v>0</v>
      </c>
      <c r="AB162" s="49" t="str">
        <f t="shared" si="27"/>
        <v/>
      </c>
      <c r="AC162" s="50" t="str">
        <f t="shared" si="28"/>
        <v/>
      </c>
    </row>
    <row r="163" spans="1:29">
      <c r="A163" s="51">
        <f>A161+1</f>
        <v>48</v>
      </c>
      <c r="B163" s="52" t="str">
        <f>[1]!ArticleCode(Art_17.61.)</f>
        <v>17.61.</v>
      </c>
      <c r="C163" s="53" t="str">
        <f>[1]!ArticleDescription(Art_17.61.)</f>
        <v>afvalwaterbehandeling – septische putten 5.000 liter</v>
      </c>
      <c r="D163" s="42" t="str">
        <f>[1]!ArticleMeasureType(Art_17.61.)</f>
        <v>EP</v>
      </c>
      <c r="E163" s="42" t="str">
        <f>[1]!ArticleMeasureUnit(Art_17.61.)</f>
        <v>st</v>
      </c>
      <c r="F163" s="60">
        <f>[1]!ArticleQuantity(Art_17.61.)</f>
        <v>0</v>
      </c>
      <c r="G163" s="42"/>
      <c r="H163" s="44"/>
      <c r="I163" s="44">
        <f>IF(RIGHT($D163,1)="-","************",ROUND(IF(NOT(ISNUMBER(G163)),IF(NOT(ISNUMBER(F163)),1,F163),G163)*H163,2))</f>
        <v>0</v>
      </c>
      <c r="J163" s="45"/>
      <c r="K163" s="46"/>
      <c r="L163" s="47"/>
      <c r="M163" s="42"/>
      <c r="N163" s="48"/>
      <c r="O163" s="44">
        <f t="shared" si="20"/>
        <v>0</v>
      </c>
      <c r="P163" s="49" t="str">
        <f t="shared" si="21"/>
        <v/>
      </c>
      <c r="Q163" s="50" t="str">
        <f t="shared" si="22"/>
        <v/>
      </c>
      <c r="R163" s="47"/>
      <c r="S163" s="42"/>
      <c r="T163" s="48"/>
      <c r="U163" s="44">
        <f t="shared" si="23"/>
        <v>0</v>
      </c>
      <c r="V163" s="49" t="str">
        <f t="shared" si="24"/>
        <v/>
      </c>
      <c r="W163" s="50" t="str">
        <f t="shared" si="25"/>
        <v/>
      </c>
      <c r="X163" s="47"/>
      <c r="Y163" s="42"/>
      <c r="Z163" s="48"/>
      <c r="AA163" s="44">
        <f t="shared" si="26"/>
        <v>0</v>
      </c>
      <c r="AB163" s="49" t="str">
        <f t="shared" si="27"/>
        <v/>
      </c>
      <c r="AC163" s="50" t="str">
        <f t="shared" si="28"/>
        <v/>
      </c>
    </row>
    <row r="164" spans="1:29">
      <c r="B164" s="52" t="str">
        <f>[1]!ArticleCode(Art_17.70.)</f>
        <v>17.70.</v>
      </c>
      <c r="C164" s="53" t="str">
        <f>[1]!ArticleDescription(Art_17.70.)</f>
        <v>regenwaterbehandeling - algemeen</v>
      </c>
      <c r="D164" s="42"/>
      <c r="E164" s="42"/>
      <c r="F164" s="42"/>
      <c r="G164" s="42"/>
      <c r="H164" s="44"/>
      <c r="I164" s="44"/>
      <c r="J164" s="45"/>
      <c r="K164" s="46"/>
      <c r="L164" s="47"/>
      <c r="M164" s="42"/>
      <c r="N164" s="48"/>
      <c r="O164" s="44">
        <f t="shared" si="20"/>
        <v>0</v>
      </c>
      <c r="P164" s="49" t="str">
        <f t="shared" si="21"/>
        <v/>
      </c>
      <c r="Q164" s="50" t="str">
        <f t="shared" si="22"/>
        <v/>
      </c>
      <c r="R164" s="47"/>
      <c r="S164" s="42"/>
      <c r="T164" s="48"/>
      <c r="U164" s="44">
        <f t="shared" si="23"/>
        <v>0</v>
      </c>
      <c r="V164" s="49" t="str">
        <f t="shared" si="24"/>
        <v/>
      </c>
      <c r="W164" s="50" t="str">
        <f t="shared" si="25"/>
        <v/>
      </c>
      <c r="X164" s="47"/>
      <c r="Y164" s="42"/>
      <c r="Z164" s="48"/>
      <c r="AA164" s="44">
        <f t="shared" si="26"/>
        <v>0</v>
      </c>
      <c r="AB164" s="49" t="str">
        <f t="shared" si="27"/>
        <v/>
      </c>
      <c r="AC164" s="50" t="str">
        <f t="shared" si="28"/>
        <v/>
      </c>
    </row>
    <row r="165" spans="1:29">
      <c r="B165" s="52" t="str">
        <f>[1]!ArticleCode(Art_17.71.)</f>
        <v>17.71.</v>
      </c>
      <c r="C165" s="53" t="str">
        <f>[1]!ArticleDescription(Art_17.71.)</f>
        <v>regenwaterbehandeling - regenwaterputten</v>
      </c>
      <c r="D165" s="42"/>
      <c r="E165" s="42"/>
      <c r="F165" s="42"/>
      <c r="G165" s="42"/>
      <c r="H165" s="44"/>
      <c r="I165" s="44"/>
      <c r="J165" s="45"/>
      <c r="K165" s="46"/>
      <c r="L165" s="47"/>
      <c r="M165" s="42"/>
      <c r="N165" s="48"/>
      <c r="O165" s="44">
        <f t="shared" si="20"/>
        <v>0</v>
      </c>
      <c r="P165" s="49" t="str">
        <f t="shared" si="21"/>
        <v/>
      </c>
      <c r="Q165" s="50" t="str">
        <f t="shared" si="22"/>
        <v/>
      </c>
      <c r="R165" s="47"/>
      <c r="S165" s="42"/>
      <c r="T165" s="48"/>
      <c r="U165" s="44">
        <f t="shared" si="23"/>
        <v>0</v>
      </c>
      <c r="V165" s="49" t="str">
        <f t="shared" si="24"/>
        <v/>
      </c>
      <c r="W165" s="50" t="str">
        <f t="shared" si="25"/>
        <v/>
      </c>
      <c r="X165" s="47"/>
      <c r="Y165" s="42"/>
      <c r="Z165" s="48"/>
      <c r="AA165" s="44">
        <f t="shared" si="26"/>
        <v>0</v>
      </c>
      <c r="AB165" s="49" t="str">
        <f t="shared" si="27"/>
        <v/>
      </c>
      <c r="AC165" s="50" t="str">
        <f t="shared" si="28"/>
        <v/>
      </c>
    </row>
    <row r="166" spans="1:29">
      <c r="A166" s="51">
        <f>A163+1</f>
        <v>49</v>
      </c>
      <c r="B166" s="52" t="str">
        <f>[1]!ArticleCode(Art_17.71.10.)</f>
        <v>17.71.10.</v>
      </c>
      <c r="C166" s="53" t="str">
        <f>[1]!ArticleDescription(Art_17.71.10.)</f>
        <v>regenwaterbehandeling – regenwaterputten/beton 10.000l</v>
      </c>
      <c r="D166" s="42" t="str">
        <f>[1]!ArticleMeasureType(Art_17.71.10.)</f>
        <v>FH</v>
      </c>
      <c r="E166" s="42" t="str">
        <f>[1]!ArticleMeasureUnit(Art_17.71.10.)</f>
        <v>st</v>
      </c>
      <c r="F166" s="60">
        <f>[1]!ArticleQuantity(Art_17.71.10.)</f>
        <v>1</v>
      </c>
      <c r="G166" s="42"/>
      <c r="H166" s="44"/>
      <c r="I166" s="44">
        <f>IF(RIGHT($D166,1)="-","************",ROUND(IF(NOT(ISNUMBER(G166)),IF(NOT(ISNUMBER(F166)),1,F166),G166)*H166,2))</f>
        <v>0</v>
      </c>
      <c r="J166" s="45"/>
      <c r="K166" s="46"/>
      <c r="L166" s="47"/>
      <c r="M166" s="42"/>
      <c r="N166" s="48"/>
      <c r="O166" s="44">
        <f t="shared" si="20"/>
        <v>0</v>
      </c>
      <c r="P166" s="49" t="str">
        <f t="shared" si="21"/>
        <v/>
      </c>
      <c r="Q166" s="50" t="str">
        <f t="shared" si="22"/>
        <v/>
      </c>
      <c r="R166" s="47"/>
      <c r="S166" s="42"/>
      <c r="T166" s="48"/>
      <c r="U166" s="44">
        <f t="shared" si="23"/>
        <v>0</v>
      </c>
      <c r="V166" s="49" t="str">
        <f t="shared" si="24"/>
        <v/>
      </c>
      <c r="W166" s="50" t="str">
        <f t="shared" si="25"/>
        <v/>
      </c>
      <c r="X166" s="47"/>
      <c r="Y166" s="42"/>
      <c r="Z166" s="48"/>
      <c r="AA166" s="44">
        <f t="shared" si="26"/>
        <v>0</v>
      </c>
      <c r="AB166" s="49" t="str">
        <f t="shared" si="27"/>
        <v/>
      </c>
      <c r="AC166" s="50" t="str">
        <f t="shared" si="28"/>
        <v/>
      </c>
    </row>
    <row r="167" spans="1:29">
      <c r="A167" s="51">
        <f>A166+1</f>
        <v>50</v>
      </c>
      <c r="B167" s="52" t="str">
        <f>[1]!ArticleCode(Art_17.72.)</f>
        <v>17.72.</v>
      </c>
      <c r="C167" s="53" t="str">
        <f>[1]!ArticleDescription(Art_17.72.)</f>
        <v>regenwaterbehandeling - hergebruik regenwater</v>
      </c>
      <c r="D167" s="42" t="str">
        <f>[1]!ArticleMeasureType(Art_17.72.)</f>
        <v>PM</v>
      </c>
      <c r="E167" s="42" t="str">
        <f>[1]!ArticleMeasureUnit(Art_17.72.)</f>
        <v/>
      </c>
      <c r="F167" s="60" t="str">
        <f>[1]!ArticleQuantity(Art_17.72.)</f>
        <v/>
      </c>
      <c r="G167" s="42"/>
      <c r="H167" s="44"/>
      <c r="I167" s="44">
        <f>IF(RIGHT($D167,1)="-","************",ROUND(IF(NOT(ISNUMBER(G167)),IF(NOT(ISNUMBER(F167)),1,F167),G167)*H167,2))</f>
        <v>0</v>
      </c>
      <c r="J167" s="45"/>
      <c r="K167" s="46"/>
      <c r="L167" s="47"/>
      <c r="M167" s="42"/>
      <c r="N167" s="48"/>
      <c r="O167" s="44">
        <f t="shared" si="20"/>
        <v>0</v>
      </c>
      <c r="P167" s="49" t="str">
        <f t="shared" si="21"/>
        <v/>
      </c>
      <c r="Q167" s="50" t="str">
        <f t="shared" si="22"/>
        <v/>
      </c>
      <c r="R167" s="47"/>
      <c r="S167" s="42"/>
      <c r="T167" s="48"/>
      <c r="U167" s="44">
        <f t="shared" si="23"/>
        <v>0</v>
      </c>
      <c r="V167" s="49" t="str">
        <f t="shared" si="24"/>
        <v/>
      </c>
      <c r="W167" s="50" t="str">
        <f t="shared" si="25"/>
        <v/>
      </c>
      <c r="X167" s="47"/>
      <c r="Y167" s="42"/>
      <c r="Z167" s="48"/>
      <c r="AA167" s="44">
        <f t="shared" si="26"/>
        <v>0</v>
      </c>
      <c r="AB167" s="49" t="str">
        <f t="shared" si="27"/>
        <v/>
      </c>
      <c r="AC167" s="50" t="str">
        <f t="shared" si="28"/>
        <v/>
      </c>
    </row>
    <row r="168" spans="1:29">
      <c r="A168" s="51">
        <f>A167+1</f>
        <v>51</v>
      </c>
      <c r="B168" s="52" t="str">
        <f>[1]!ArticleCode(Art_17.73.)</f>
        <v>17.73.</v>
      </c>
      <c r="C168" s="53" t="str">
        <f>[1]!ArticleDescription(Art_17.73.)</f>
        <v>regenwaterbehandeling - voorfilters</v>
      </c>
      <c r="D168" s="42" t="str">
        <f>[1]!ArticleMeasureType(Art_17.73.)</f>
        <v>FH</v>
      </c>
      <c r="E168" s="42" t="str">
        <f>[1]!ArticleMeasureUnit(Art_17.73.)</f>
        <v>st</v>
      </c>
      <c r="F168" s="60">
        <f>[1]!ArticleQuantity(Art_17.73.)</f>
        <v>1</v>
      </c>
      <c r="G168" s="42"/>
      <c r="H168" s="44"/>
      <c r="I168" s="44">
        <f>IF(RIGHT($D168,1)="-","************",ROUND(IF(NOT(ISNUMBER(G168)),IF(NOT(ISNUMBER(F168)),1,F168),G168)*H168,2))</f>
        <v>0</v>
      </c>
      <c r="J168" s="45"/>
      <c r="K168" s="46"/>
      <c r="L168" s="47"/>
      <c r="M168" s="42"/>
      <c r="N168" s="48"/>
      <c r="O168" s="44">
        <f t="shared" si="20"/>
        <v>0</v>
      </c>
      <c r="P168" s="49" t="str">
        <f t="shared" si="21"/>
        <v/>
      </c>
      <c r="Q168" s="50" t="str">
        <f t="shared" si="22"/>
        <v/>
      </c>
      <c r="R168" s="47"/>
      <c r="S168" s="42"/>
      <c r="T168" s="48"/>
      <c r="U168" s="44">
        <f t="shared" si="23"/>
        <v>0</v>
      </c>
      <c r="V168" s="49" t="str">
        <f t="shared" si="24"/>
        <v/>
      </c>
      <c r="W168" s="50" t="str">
        <f t="shared" si="25"/>
        <v/>
      </c>
      <c r="X168" s="47"/>
      <c r="Y168" s="42"/>
      <c r="Z168" s="48"/>
      <c r="AA168" s="44">
        <f t="shared" si="26"/>
        <v>0</v>
      </c>
      <c r="AB168" s="49" t="str">
        <f t="shared" si="27"/>
        <v/>
      </c>
      <c r="AC168" s="50" t="str">
        <f t="shared" si="28"/>
        <v/>
      </c>
    </row>
    <row r="169" spans="1:29">
      <c r="A169" s="51">
        <f>A168+1</f>
        <v>52</v>
      </c>
      <c r="B169" s="52" t="str">
        <f>[1]!ArticleCode(Art_17.74.)</f>
        <v>17.74.</v>
      </c>
      <c r="C169" s="53" t="str">
        <f>[1]!ArticleDescription(Art_17.74.)</f>
        <v>regenwaterbehandeling - overloop en terugslagklep</v>
      </c>
      <c r="D169" s="42" t="str">
        <f>[1]!ArticleMeasureType(Art_17.74.)</f>
        <v>FH</v>
      </c>
      <c r="E169" s="42" t="str">
        <f>[1]!ArticleMeasureUnit(Art_17.74.)</f>
        <v>st</v>
      </c>
      <c r="F169" s="60">
        <f>[1]!ArticleQuantity(Art_17.74.)</f>
        <v>1</v>
      </c>
      <c r="G169" s="42"/>
      <c r="H169" s="44"/>
      <c r="I169" s="44">
        <f>IF(RIGHT($D169,1)="-","************",ROUND(IF(NOT(ISNUMBER(G169)),IF(NOT(ISNUMBER(F169)),1,F169),G169)*H169,2))</f>
        <v>0</v>
      </c>
      <c r="J169" s="45"/>
      <c r="K169" s="46"/>
      <c r="L169" s="47"/>
      <c r="M169" s="42"/>
      <c r="N169" s="48"/>
      <c r="O169" s="44">
        <f t="shared" si="20"/>
        <v>0</v>
      </c>
      <c r="P169" s="49" t="str">
        <f t="shared" si="21"/>
        <v/>
      </c>
      <c r="Q169" s="50" t="str">
        <f t="shared" si="22"/>
        <v/>
      </c>
      <c r="R169" s="47"/>
      <c r="S169" s="42"/>
      <c r="T169" s="48"/>
      <c r="U169" s="44">
        <f t="shared" si="23"/>
        <v>0</v>
      </c>
      <c r="V169" s="49" t="str">
        <f t="shared" si="24"/>
        <v/>
      </c>
      <c r="W169" s="50" t="str">
        <f t="shared" si="25"/>
        <v/>
      </c>
      <c r="X169" s="47"/>
      <c r="Y169" s="42"/>
      <c r="Z169" s="48"/>
      <c r="AA169" s="44">
        <f t="shared" si="26"/>
        <v>0</v>
      </c>
      <c r="AB169" s="49" t="str">
        <f t="shared" si="27"/>
        <v/>
      </c>
      <c r="AC169" s="50" t="str">
        <f t="shared" si="28"/>
        <v/>
      </c>
    </row>
    <row r="170" spans="1:29">
      <c r="A170" s="51">
        <f>A169+1</f>
        <v>53</v>
      </c>
      <c r="B170" s="52" t="str">
        <f>[1]!ArticleCode(Art_17.84.)</f>
        <v>17.84.</v>
      </c>
      <c r="C170" s="53" t="str">
        <f>[1]!ArticleDescription(Art_17.84.)</f>
        <v>aansluitingen – overloop regenwater op wadi</v>
      </c>
      <c r="D170" s="42" t="str">
        <f>[1]!ArticleMeasureType(Art_17.84.)</f>
        <v>FH</v>
      </c>
      <c r="E170" s="42" t="str">
        <f>[1]!ArticleMeasureUnit(Art_17.84.)</f>
        <v>st</v>
      </c>
      <c r="F170" s="60">
        <f>[1]!ArticleQuantity(Art_17.84.)</f>
        <v>2</v>
      </c>
      <c r="G170" s="42"/>
      <c r="H170" s="44"/>
      <c r="I170" s="44">
        <f>IF(RIGHT($D170,1)="-","************",ROUND(IF(NOT(ISNUMBER(G170)),IF(NOT(ISNUMBER(F170)),1,F170),G170)*H170,2))</f>
        <v>0</v>
      </c>
      <c r="J170" s="45"/>
      <c r="K170" s="46"/>
      <c r="L170" s="47"/>
      <c r="M170" s="42"/>
      <c r="N170" s="48"/>
      <c r="O170" s="44">
        <f t="shared" si="20"/>
        <v>0</v>
      </c>
      <c r="P170" s="49" t="str">
        <f t="shared" si="21"/>
        <v/>
      </c>
      <c r="Q170" s="50" t="str">
        <f t="shared" si="22"/>
        <v/>
      </c>
      <c r="R170" s="47"/>
      <c r="S170" s="42"/>
      <c r="T170" s="48"/>
      <c r="U170" s="44">
        <f t="shared" si="23"/>
        <v>0</v>
      </c>
      <c r="V170" s="49" t="str">
        <f t="shared" si="24"/>
        <v/>
      </c>
      <c r="W170" s="50" t="str">
        <f t="shared" si="25"/>
        <v/>
      </c>
      <c r="X170" s="47"/>
      <c r="Y170" s="42"/>
      <c r="Z170" s="48"/>
      <c r="AA170" s="44">
        <f t="shared" si="26"/>
        <v>0</v>
      </c>
      <c r="AB170" s="49" t="str">
        <f t="shared" si="27"/>
        <v/>
      </c>
      <c r="AC170" s="50" t="str">
        <f t="shared" si="28"/>
        <v/>
      </c>
    </row>
    <row r="171" spans="1:29">
      <c r="B171" s="54"/>
      <c r="C171" s="55"/>
      <c r="D171" s="56"/>
      <c r="E171" s="55"/>
      <c r="F171" s="55"/>
      <c r="G171" s="55"/>
      <c r="H171" s="57"/>
      <c r="I171" s="57"/>
      <c r="J171" s="58">
        <f>SUBTOTAL(9,I151:I170)</f>
        <v>0</v>
      </c>
      <c r="K171" s="46"/>
      <c r="L171" s="47"/>
      <c r="M171" s="42"/>
      <c r="N171" s="48"/>
      <c r="O171" s="44">
        <f t="shared" si="20"/>
        <v>0</v>
      </c>
      <c r="P171" s="49" t="str">
        <f t="shared" si="21"/>
        <v/>
      </c>
      <c r="Q171" s="50" t="str">
        <f t="shared" si="22"/>
        <v/>
      </c>
      <c r="R171" s="47"/>
      <c r="S171" s="42"/>
      <c r="T171" s="48"/>
      <c r="U171" s="44">
        <f t="shared" si="23"/>
        <v>0</v>
      </c>
      <c r="V171" s="49" t="str">
        <f t="shared" si="24"/>
        <v/>
      </c>
      <c r="W171" s="50" t="str">
        <f t="shared" si="25"/>
        <v/>
      </c>
      <c r="X171" s="47"/>
      <c r="Y171" s="42"/>
      <c r="Z171" s="48"/>
      <c r="AA171" s="44">
        <f t="shared" si="26"/>
        <v>0</v>
      </c>
      <c r="AB171" s="49" t="str">
        <f t="shared" si="27"/>
        <v/>
      </c>
      <c r="AC171" s="50" t="str">
        <f t="shared" si="28"/>
        <v/>
      </c>
    </row>
    <row r="172" spans="1:29">
      <c r="B172" s="59"/>
      <c r="C172" s="42"/>
      <c r="D172" s="42"/>
      <c r="E172" s="42"/>
      <c r="F172" s="42"/>
      <c r="G172" s="42"/>
      <c r="H172" s="44"/>
      <c r="I172" s="44"/>
      <c r="J172" s="45"/>
      <c r="K172" s="46"/>
      <c r="L172" s="47"/>
      <c r="M172" s="42"/>
      <c r="N172" s="48"/>
      <c r="O172" s="44">
        <f t="shared" si="20"/>
        <v>0</v>
      </c>
      <c r="P172" s="49" t="str">
        <f t="shared" si="21"/>
        <v/>
      </c>
      <c r="Q172" s="50" t="str">
        <f t="shared" si="22"/>
        <v/>
      </c>
      <c r="R172" s="47"/>
      <c r="S172" s="42"/>
      <c r="T172" s="48"/>
      <c r="U172" s="44">
        <f t="shared" si="23"/>
        <v>0</v>
      </c>
      <c r="V172" s="49" t="str">
        <f t="shared" si="24"/>
        <v/>
      </c>
      <c r="W172" s="50" t="str">
        <f t="shared" si="25"/>
        <v/>
      </c>
      <c r="X172" s="47"/>
      <c r="Y172" s="42"/>
      <c r="Z172" s="48"/>
      <c r="AA172" s="44">
        <f t="shared" si="26"/>
        <v>0</v>
      </c>
      <c r="AB172" s="49" t="str">
        <f t="shared" si="27"/>
        <v/>
      </c>
      <c r="AC172" s="50" t="str">
        <f t="shared" si="28"/>
        <v/>
      </c>
    </row>
    <row r="173" spans="1:29">
      <c r="B173" s="41" t="s">
        <v>394</v>
      </c>
      <c r="C173" s="42"/>
      <c r="D173" s="43"/>
      <c r="E173" s="42"/>
      <c r="F173" s="42"/>
      <c r="G173" s="42"/>
      <c r="H173" s="44"/>
      <c r="I173" s="44"/>
      <c r="J173" s="45"/>
      <c r="K173" s="46"/>
      <c r="L173" s="47"/>
      <c r="M173" s="42"/>
      <c r="N173" s="48"/>
      <c r="O173" s="44">
        <f t="shared" si="20"/>
        <v>0</v>
      </c>
      <c r="P173" s="49" t="str">
        <f t="shared" si="21"/>
        <v/>
      </c>
      <c r="Q173" s="50" t="str">
        <f t="shared" si="22"/>
        <v/>
      </c>
      <c r="R173" s="47"/>
      <c r="S173" s="42"/>
      <c r="T173" s="48"/>
      <c r="U173" s="44">
        <f t="shared" si="23"/>
        <v>0</v>
      </c>
      <c r="V173" s="49" t="str">
        <f t="shared" si="24"/>
        <v/>
      </c>
      <c r="W173" s="50" t="str">
        <f t="shared" si="25"/>
        <v/>
      </c>
      <c r="X173" s="47"/>
      <c r="Y173" s="42"/>
      <c r="Z173" s="48"/>
      <c r="AA173" s="44">
        <f t="shared" si="26"/>
        <v>0</v>
      </c>
      <c r="AB173" s="49" t="str">
        <f t="shared" si="27"/>
        <v/>
      </c>
      <c r="AC173" s="50" t="str">
        <f t="shared" si="28"/>
        <v/>
      </c>
    </row>
    <row r="174" spans="1:29">
      <c r="B174" s="52" t="str">
        <f>[1]!ArticleCode(Art_20.)</f>
        <v>20.</v>
      </c>
      <c r="C174" s="53" t="str">
        <f>[1]!ArticleDescription(Art_20.)</f>
        <v>METSELWERK</v>
      </c>
      <c r="D174" s="42"/>
      <c r="E174" s="42"/>
      <c r="F174" s="42"/>
      <c r="G174" s="42"/>
      <c r="H174" s="44"/>
      <c r="I174" s="44"/>
      <c r="J174" s="45"/>
      <c r="K174" s="46"/>
      <c r="L174" s="47"/>
      <c r="M174" s="42"/>
      <c r="N174" s="48"/>
      <c r="O174" s="44">
        <f t="shared" si="20"/>
        <v>0</v>
      </c>
      <c r="P174" s="49" t="str">
        <f t="shared" si="21"/>
        <v/>
      </c>
      <c r="Q174" s="50" t="str">
        <f t="shared" si="22"/>
        <v/>
      </c>
      <c r="R174" s="47"/>
      <c r="S174" s="42"/>
      <c r="T174" s="48"/>
      <c r="U174" s="44">
        <f t="shared" si="23"/>
        <v>0</v>
      </c>
      <c r="V174" s="49" t="str">
        <f t="shared" si="24"/>
        <v/>
      </c>
      <c r="W174" s="50" t="str">
        <f t="shared" si="25"/>
        <v/>
      </c>
      <c r="X174" s="47"/>
      <c r="Y174" s="42"/>
      <c r="Z174" s="48"/>
      <c r="AA174" s="44">
        <f t="shared" si="26"/>
        <v>0</v>
      </c>
      <c r="AB174" s="49" t="str">
        <f t="shared" si="27"/>
        <v/>
      </c>
      <c r="AC174" s="50" t="str">
        <f t="shared" si="28"/>
        <v/>
      </c>
    </row>
    <row r="175" spans="1:29">
      <c r="B175" s="52" t="str">
        <f>[1]!ArticleCode(Art_20.00.)</f>
        <v>20.00.</v>
      </c>
      <c r="C175" s="53" t="str">
        <f>[1]!ArticleDescription(Art_20.00.)</f>
        <v>metselwerken - algemeen</v>
      </c>
      <c r="D175" s="42"/>
      <c r="E175" s="42"/>
      <c r="F175" s="42"/>
      <c r="G175" s="42"/>
      <c r="H175" s="44"/>
      <c r="I175" s="44"/>
      <c r="J175" s="45"/>
      <c r="K175" s="46"/>
      <c r="L175" s="47"/>
      <c r="M175" s="42"/>
      <c r="N175" s="48"/>
      <c r="O175" s="44">
        <f t="shared" si="20"/>
        <v>0</v>
      </c>
      <c r="P175" s="49" t="str">
        <f t="shared" si="21"/>
        <v/>
      </c>
      <c r="Q175" s="50" t="str">
        <f t="shared" si="22"/>
        <v/>
      </c>
      <c r="R175" s="47"/>
      <c r="S175" s="42"/>
      <c r="T175" s="48"/>
      <c r="U175" s="44">
        <f t="shared" si="23"/>
        <v>0</v>
      </c>
      <c r="V175" s="49" t="str">
        <f t="shared" si="24"/>
        <v/>
      </c>
      <c r="W175" s="50" t="str">
        <f t="shared" si="25"/>
        <v/>
      </c>
      <c r="X175" s="47"/>
      <c r="Y175" s="42"/>
      <c r="Z175" s="48"/>
      <c r="AA175" s="44">
        <f t="shared" si="26"/>
        <v>0</v>
      </c>
      <c r="AB175" s="49" t="str">
        <f t="shared" si="27"/>
        <v/>
      </c>
      <c r="AC175" s="50" t="str">
        <f t="shared" si="28"/>
        <v/>
      </c>
    </row>
    <row r="176" spans="1:29">
      <c r="B176" s="52" t="str">
        <f>[1]!ArticleCode(Art_20.01.)</f>
        <v>20.01.</v>
      </c>
      <c r="C176" s="53" t="str">
        <f>[1]!ArticleDescription(Art_20.01.)</f>
        <v>metselwerken – ter plaatse gemetst</v>
      </c>
      <c r="D176" s="42"/>
      <c r="E176" s="42"/>
      <c r="F176" s="42"/>
      <c r="G176" s="42"/>
      <c r="H176" s="44"/>
      <c r="I176" s="44"/>
      <c r="J176" s="45"/>
      <c r="K176" s="46"/>
      <c r="L176" s="47"/>
      <c r="M176" s="42"/>
      <c r="N176" s="48"/>
      <c r="O176" s="44">
        <f t="shared" si="20"/>
        <v>0</v>
      </c>
      <c r="P176" s="49" t="str">
        <f t="shared" si="21"/>
        <v/>
      </c>
      <c r="Q176" s="50" t="str">
        <f t="shared" si="22"/>
        <v/>
      </c>
      <c r="R176" s="47"/>
      <c r="S176" s="42"/>
      <c r="T176" s="48"/>
      <c r="U176" s="44">
        <f t="shared" si="23"/>
        <v>0</v>
      </c>
      <c r="V176" s="49" t="str">
        <f t="shared" si="24"/>
        <v/>
      </c>
      <c r="W176" s="50" t="str">
        <f t="shared" si="25"/>
        <v/>
      </c>
      <c r="X176" s="47"/>
      <c r="Y176" s="42"/>
      <c r="Z176" s="48"/>
      <c r="AA176" s="44">
        <f t="shared" si="26"/>
        <v>0</v>
      </c>
      <c r="AB176" s="49" t="str">
        <f t="shared" si="27"/>
        <v/>
      </c>
      <c r="AC176" s="50" t="str">
        <f t="shared" si="28"/>
        <v/>
      </c>
    </row>
    <row r="177" spans="1:29">
      <c r="B177" s="52" t="str">
        <f>[1]!ArticleCode(Art_20.10.)</f>
        <v>20.10.</v>
      </c>
      <c r="C177" s="53" t="str">
        <f>[1]!ArticleDescription(Art_20.10.)</f>
        <v>materialen – algemeen</v>
      </c>
      <c r="D177" s="42"/>
      <c r="E177" s="42"/>
      <c r="F177" s="42"/>
      <c r="G177" s="42"/>
      <c r="H177" s="44"/>
      <c r="I177" s="44"/>
      <c r="J177" s="45"/>
      <c r="K177" s="46"/>
      <c r="L177" s="47"/>
      <c r="M177" s="42"/>
      <c r="N177" s="48"/>
      <c r="O177" s="44">
        <f t="shared" si="20"/>
        <v>0</v>
      </c>
      <c r="P177" s="49" t="str">
        <f t="shared" si="21"/>
        <v/>
      </c>
      <c r="Q177" s="50" t="str">
        <f t="shared" si="22"/>
        <v/>
      </c>
      <c r="R177" s="47"/>
      <c r="S177" s="42"/>
      <c r="T177" s="48"/>
      <c r="U177" s="44">
        <f t="shared" si="23"/>
        <v>0</v>
      </c>
      <c r="V177" s="49" t="str">
        <f t="shared" si="24"/>
        <v/>
      </c>
      <c r="W177" s="50" t="str">
        <f t="shared" si="25"/>
        <v/>
      </c>
      <c r="X177" s="47"/>
      <c r="Y177" s="42"/>
      <c r="Z177" s="48"/>
      <c r="AA177" s="44">
        <f t="shared" si="26"/>
        <v>0</v>
      </c>
      <c r="AB177" s="49" t="str">
        <f t="shared" si="27"/>
        <v/>
      </c>
      <c r="AC177" s="50" t="str">
        <f t="shared" si="28"/>
        <v/>
      </c>
    </row>
    <row r="178" spans="1:29">
      <c r="B178" s="52" t="str">
        <f>[1]!ArticleCode(Art_20.11.)</f>
        <v>20.11.</v>
      </c>
      <c r="C178" s="53" t="str">
        <f>[1]!ArticleDescription(Art_20.11.)</f>
        <v>materialen – metselmortel</v>
      </c>
      <c r="D178" s="42"/>
      <c r="E178" s="42"/>
      <c r="F178" s="42"/>
      <c r="G178" s="42"/>
      <c r="H178" s="44"/>
      <c r="I178" s="44"/>
      <c r="J178" s="45"/>
      <c r="K178" s="46"/>
      <c r="L178" s="47"/>
      <c r="M178" s="42"/>
      <c r="N178" s="48"/>
      <c r="O178" s="44">
        <f t="shared" si="20"/>
        <v>0</v>
      </c>
      <c r="P178" s="49" t="str">
        <f t="shared" si="21"/>
        <v/>
      </c>
      <c r="Q178" s="50" t="str">
        <f t="shared" si="22"/>
        <v/>
      </c>
      <c r="R178" s="47"/>
      <c r="S178" s="42"/>
      <c r="T178" s="48"/>
      <c r="U178" s="44">
        <f t="shared" si="23"/>
        <v>0</v>
      </c>
      <c r="V178" s="49" t="str">
        <f t="shared" si="24"/>
        <v/>
      </c>
      <c r="W178" s="50" t="str">
        <f t="shared" si="25"/>
        <v/>
      </c>
      <c r="X178" s="47"/>
      <c r="Y178" s="42"/>
      <c r="Z178" s="48"/>
      <c r="AA178" s="44">
        <f t="shared" si="26"/>
        <v>0</v>
      </c>
      <c r="AB178" s="49" t="str">
        <f t="shared" si="27"/>
        <v/>
      </c>
      <c r="AC178" s="50" t="str">
        <f t="shared" si="28"/>
        <v/>
      </c>
    </row>
    <row r="179" spans="1:29">
      <c r="A179" s="51">
        <f>A170+1</f>
        <v>54</v>
      </c>
      <c r="B179" s="52" t="str">
        <f>[1]!ArticleCode(Art_20.11.10.)</f>
        <v>20.11.10.</v>
      </c>
      <c r="C179" s="53" t="str">
        <f>[1]!ArticleDescription(Art_20.11.10.)</f>
        <v>materialen – metselmortel/voor algemene toepassing (G)</v>
      </c>
      <c r="D179" s="42" t="str">
        <f>[1]!ArticleMeasureType(Art_20.11.10.)</f>
        <v>PM</v>
      </c>
      <c r="E179" s="42" t="str">
        <f>[1]!ArticleMeasureUnit(Art_20.11.10.)</f>
        <v/>
      </c>
      <c r="F179" s="60" t="str">
        <f>[1]!ArticleQuantity(Art_20.11.10.)</f>
        <v/>
      </c>
      <c r="G179" s="42"/>
      <c r="H179" s="44"/>
      <c r="I179" s="44">
        <f>IF(RIGHT($D179,1)="-","************",ROUND(IF(NOT(ISNUMBER(G179)),IF(NOT(ISNUMBER(F179)),1,F179),G179)*H179,2))</f>
        <v>0</v>
      </c>
      <c r="J179" s="45"/>
      <c r="K179" s="46"/>
      <c r="L179" s="47"/>
      <c r="M179" s="42"/>
      <c r="N179" s="48"/>
      <c r="O179" s="44">
        <f t="shared" si="20"/>
        <v>0</v>
      </c>
      <c r="P179" s="49" t="str">
        <f t="shared" si="21"/>
        <v/>
      </c>
      <c r="Q179" s="50" t="str">
        <f t="shared" si="22"/>
        <v/>
      </c>
      <c r="R179" s="47"/>
      <c r="S179" s="42"/>
      <c r="T179" s="48"/>
      <c r="U179" s="44">
        <f t="shared" si="23"/>
        <v>0</v>
      </c>
      <c r="V179" s="49" t="str">
        <f t="shared" si="24"/>
        <v/>
      </c>
      <c r="W179" s="50" t="str">
        <f t="shared" si="25"/>
        <v/>
      </c>
      <c r="X179" s="47"/>
      <c r="Y179" s="42"/>
      <c r="Z179" s="48"/>
      <c r="AA179" s="44">
        <f t="shared" si="26"/>
        <v>0</v>
      </c>
      <c r="AB179" s="49" t="str">
        <f t="shared" si="27"/>
        <v/>
      </c>
      <c r="AC179" s="50" t="str">
        <f t="shared" si="28"/>
        <v/>
      </c>
    </row>
    <row r="180" spans="1:29">
      <c r="B180" s="52" t="str">
        <f>[1]!ArticleCode(Art_20.12.)</f>
        <v>20.12.</v>
      </c>
      <c r="C180" s="53" t="str">
        <f>[1]!ArticleDescription(Art_20.12.)</f>
        <v>materialen – hulpstukken</v>
      </c>
      <c r="D180" s="42"/>
      <c r="E180" s="42"/>
      <c r="F180" s="42"/>
      <c r="G180" s="42"/>
      <c r="H180" s="44"/>
      <c r="I180" s="44"/>
      <c r="J180" s="45"/>
      <c r="K180" s="46"/>
      <c r="L180" s="47"/>
      <c r="M180" s="42"/>
      <c r="N180" s="48"/>
      <c r="O180" s="44">
        <f t="shared" si="20"/>
        <v>0</v>
      </c>
      <c r="P180" s="49" t="str">
        <f t="shared" si="21"/>
        <v/>
      </c>
      <c r="Q180" s="50" t="str">
        <f t="shared" si="22"/>
        <v/>
      </c>
      <c r="R180" s="47"/>
      <c r="S180" s="42"/>
      <c r="T180" s="48"/>
      <c r="U180" s="44">
        <f t="shared" si="23"/>
        <v>0</v>
      </c>
      <c r="V180" s="49" t="str">
        <f t="shared" si="24"/>
        <v/>
      </c>
      <c r="W180" s="50" t="str">
        <f t="shared" si="25"/>
        <v/>
      </c>
      <c r="X180" s="47"/>
      <c r="Y180" s="42"/>
      <c r="Z180" s="48"/>
      <c r="AA180" s="44">
        <f t="shared" si="26"/>
        <v>0</v>
      </c>
      <c r="AB180" s="49" t="str">
        <f t="shared" si="27"/>
        <v/>
      </c>
      <c r="AC180" s="50" t="str">
        <f t="shared" si="28"/>
        <v/>
      </c>
    </row>
    <row r="181" spans="1:29">
      <c r="B181" s="52" t="str">
        <f>[1]!ArticleCode(Art_20.12.10.)</f>
        <v>20.12.10.</v>
      </c>
      <c r="C181" s="53" t="str">
        <f>[1]!ArticleDescription(Art_20.12.10.)</f>
        <v>materialen – hulpstukken/spouwankers</v>
      </c>
      <c r="D181" s="42"/>
      <c r="E181" s="42"/>
      <c r="F181" s="42"/>
      <c r="G181" s="42"/>
      <c r="H181" s="44"/>
      <c r="I181" s="44"/>
      <c r="J181" s="45"/>
      <c r="K181" s="46"/>
      <c r="L181" s="47"/>
      <c r="M181" s="42"/>
      <c r="N181" s="48"/>
      <c r="O181" s="44">
        <f t="shared" si="20"/>
        <v>0</v>
      </c>
      <c r="P181" s="49" t="str">
        <f t="shared" si="21"/>
        <v/>
      </c>
      <c r="Q181" s="50" t="str">
        <f t="shared" si="22"/>
        <v/>
      </c>
      <c r="R181" s="47"/>
      <c r="S181" s="42"/>
      <c r="T181" s="48"/>
      <c r="U181" s="44">
        <f t="shared" si="23"/>
        <v>0</v>
      </c>
      <c r="V181" s="49" t="str">
        <f t="shared" si="24"/>
        <v/>
      </c>
      <c r="W181" s="50" t="str">
        <f t="shared" si="25"/>
        <v/>
      </c>
      <c r="X181" s="47"/>
      <c r="Y181" s="42"/>
      <c r="Z181" s="48"/>
      <c r="AA181" s="44">
        <f t="shared" si="26"/>
        <v>0</v>
      </c>
      <c r="AB181" s="49" t="str">
        <f t="shared" si="27"/>
        <v/>
      </c>
      <c r="AC181" s="50" t="str">
        <f t="shared" si="28"/>
        <v/>
      </c>
    </row>
    <row r="182" spans="1:29">
      <c r="A182" s="51">
        <f>A179+1</f>
        <v>55</v>
      </c>
      <c r="B182" s="52" t="str">
        <f>[1]!ArticleCode(Art_20.12.12.)</f>
        <v>20.12.12.</v>
      </c>
      <c r="C182" s="53" t="str">
        <f>[1]!ArticleDescription(Art_20.12.12.)</f>
        <v>materialen – hulpstukken/spouwankers – slag- en schroefankers met isolatieplug</v>
      </c>
      <c r="D182" s="42" t="str">
        <f>[1]!ArticleMeasureType(Art_20.12.12.)</f>
        <v>PM</v>
      </c>
      <c r="E182" s="42" t="str">
        <f>[1]!ArticleMeasureUnit(Art_20.12.12.)</f>
        <v/>
      </c>
      <c r="F182" s="60" t="str">
        <f>[1]!ArticleQuantity(Art_20.12.12.)</f>
        <v/>
      </c>
      <c r="G182" s="42"/>
      <c r="H182" s="44"/>
      <c r="I182" s="44">
        <f>IF(RIGHT($D182,1)="-","************",ROUND(IF(NOT(ISNUMBER(G182)),IF(NOT(ISNUMBER(F182)),1,F182),G182)*H182,2))</f>
        <v>0</v>
      </c>
      <c r="J182" s="45"/>
      <c r="K182" s="46"/>
      <c r="L182" s="47"/>
      <c r="M182" s="42"/>
      <c r="N182" s="48"/>
      <c r="O182" s="44">
        <f t="shared" si="20"/>
        <v>0</v>
      </c>
      <c r="P182" s="49" t="str">
        <f t="shared" si="21"/>
        <v/>
      </c>
      <c r="Q182" s="50" t="str">
        <f t="shared" si="22"/>
        <v/>
      </c>
      <c r="R182" s="47"/>
      <c r="S182" s="42"/>
      <c r="T182" s="48"/>
      <c r="U182" s="44">
        <f t="shared" si="23"/>
        <v>0</v>
      </c>
      <c r="V182" s="49" t="str">
        <f t="shared" si="24"/>
        <v/>
      </c>
      <c r="W182" s="50" t="str">
        <f t="shared" si="25"/>
        <v/>
      </c>
      <c r="X182" s="47"/>
      <c r="Y182" s="42"/>
      <c r="Z182" s="48"/>
      <c r="AA182" s="44">
        <f t="shared" si="26"/>
        <v>0</v>
      </c>
      <c r="AB182" s="49" t="str">
        <f t="shared" si="27"/>
        <v/>
      </c>
      <c r="AC182" s="50" t="str">
        <f t="shared" si="28"/>
        <v/>
      </c>
    </row>
    <row r="183" spans="1:29">
      <c r="B183" s="52" t="str">
        <f>[1]!ArticleCode(Art_20.12.20.)</f>
        <v>20.12.20.</v>
      </c>
      <c r="C183" s="53" t="str">
        <f>[1]!ArticleDescription(Art_20.12.20.)</f>
        <v>materialen – hulpstukken/lateien</v>
      </c>
      <c r="D183" s="42"/>
      <c r="E183" s="42"/>
      <c r="F183" s="42"/>
      <c r="G183" s="42"/>
      <c r="H183" s="44"/>
      <c r="I183" s="44"/>
      <c r="J183" s="45"/>
      <c r="K183" s="46"/>
      <c r="L183" s="47"/>
      <c r="M183" s="42"/>
      <c r="N183" s="48"/>
      <c r="O183" s="44">
        <f t="shared" si="20"/>
        <v>0</v>
      </c>
      <c r="P183" s="49" t="str">
        <f t="shared" si="21"/>
        <v/>
      </c>
      <c r="Q183" s="50" t="str">
        <f t="shared" si="22"/>
        <v/>
      </c>
      <c r="R183" s="47"/>
      <c r="S183" s="42"/>
      <c r="T183" s="48"/>
      <c r="U183" s="44">
        <f t="shared" si="23"/>
        <v>0</v>
      </c>
      <c r="V183" s="49" t="str">
        <f t="shared" si="24"/>
        <v/>
      </c>
      <c r="W183" s="50" t="str">
        <f t="shared" si="25"/>
        <v/>
      </c>
      <c r="X183" s="47"/>
      <c r="Y183" s="42"/>
      <c r="Z183" s="48"/>
      <c r="AA183" s="44">
        <f t="shared" si="26"/>
        <v>0</v>
      </c>
      <c r="AB183" s="49" t="str">
        <f t="shared" si="27"/>
        <v/>
      </c>
      <c r="AC183" s="50" t="str">
        <f t="shared" si="28"/>
        <v/>
      </c>
    </row>
    <row r="184" spans="1:29">
      <c r="A184" s="51">
        <f>A182+1</f>
        <v>56</v>
      </c>
      <c r="B184" s="52" t="str">
        <f>[1]!ArticleCode(Art_20.12.21.)</f>
        <v>20.12.21.</v>
      </c>
      <c r="C184" s="53" t="str">
        <f>[1]!ArticleDescription(Art_20.12.21.)</f>
        <v>materialen – hulpstukken/lateien – beton</v>
      </c>
      <c r="D184" s="42" t="str">
        <f>[1]!ArticleMeasureType(Art_20.12.21.)</f>
        <v>PM</v>
      </c>
      <c r="E184" s="42" t="str">
        <f>[1]!ArticleMeasureUnit(Art_20.12.21.)</f>
        <v/>
      </c>
      <c r="F184" s="60" t="str">
        <f>[1]!ArticleQuantity(Art_20.12.21.)</f>
        <v/>
      </c>
      <c r="G184" s="42"/>
      <c r="H184" s="44"/>
      <c r="I184" s="44">
        <f>IF(RIGHT($D184,1)="-","************",ROUND(IF(NOT(ISNUMBER(G184)),IF(NOT(ISNUMBER(F184)),1,F184),G184)*H184,2))</f>
        <v>0</v>
      </c>
      <c r="J184" s="45"/>
      <c r="K184" s="46"/>
      <c r="L184" s="47"/>
      <c r="M184" s="42"/>
      <c r="N184" s="48"/>
      <c r="O184" s="44">
        <f t="shared" si="20"/>
        <v>0</v>
      </c>
      <c r="P184" s="49" t="str">
        <f t="shared" si="21"/>
        <v/>
      </c>
      <c r="Q184" s="50" t="str">
        <f t="shared" si="22"/>
        <v/>
      </c>
      <c r="R184" s="47"/>
      <c r="S184" s="42"/>
      <c r="T184" s="48"/>
      <c r="U184" s="44">
        <f t="shared" si="23"/>
        <v>0</v>
      </c>
      <c r="V184" s="49" t="str">
        <f t="shared" si="24"/>
        <v/>
      </c>
      <c r="W184" s="50" t="str">
        <f t="shared" si="25"/>
        <v/>
      </c>
      <c r="X184" s="47"/>
      <c r="Y184" s="42"/>
      <c r="Z184" s="48"/>
      <c r="AA184" s="44">
        <f t="shared" si="26"/>
        <v>0</v>
      </c>
      <c r="AB184" s="49" t="str">
        <f t="shared" si="27"/>
        <v/>
      </c>
      <c r="AC184" s="50" t="str">
        <f t="shared" si="28"/>
        <v/>
      </c>
    </row>
    <row r="185" spans="1:29">
      <c r="A185" s="51">
        <f>A184+1</f>
        <v>57</v>
      </c>
      <c r="B185" s="52" t="str">
        <f>[1]!ArticleCode(Art_20.12.22.)</f>
        <v>20.12.22.</v>
      </c>
      <c r="C185" s="53" t="str">
        <f>[1]!ArticleDescription(Art_20.12.22.)</f>
        <v>materialen – hulpstukken/lateien – staal</v>
      </c>
      <c r="D185" s="42" t="str">
        <f>[1]!ArticleMeasureType(Art_20.12.22.)</f>
        <v>PM</v>
      </c>
      <c r="E185" s="42" t="str">
        <f>[1]!ArticleMeasureUnit(Art_20.12.22.)</f>
        <v/>
      </c>
      <c r="F185" s="60" t="str">
        <f>[1]!ArticleQuantity(Art_20.12.22.)</f>
        <v/>
      </c>
      <c r="G185" s="42"/>
      <c r="H185" s="44"/>
      <c r="I185" s="44">
        <f>IF(RIGHT($D185,1)="-","************",ROUND(IF(NOT(ISNUMBER(G185)),IF(NOT(ISNUMBER(F185)),1,F185),G185)*H185,2))</f>
        <v>0</v>
      </c>
      <c r="J185" s="45"/>
      <c r="K185" s="46"/>
      <c r="L185" s="47"/>
      <c r="M185" s="42"/>
      <c r="N185" s="48"/>
      <c r="O185" s="44">
        <f t="shared" si="20"/>
        <v>0</v>
      </c>
      <c r="P185" s="49" t="str">
        <f t="shared" si="21"/>
        <v/>
      </c>
      <c r="Q185" s="50" t="str">
        <f t="shared" si="22"/>
        <v/>
      </c>
      <c r="R185" s="47"/>
      <c r="S185" s="42"/>
      <c r="T185" s="48"/>
      <c r="U185" s="44">
        <f t="shared" si="23"/>
        <v>0</v>
      </c>
      <c r="V185" s="49" t="str">
        <f t="shared" si="24"/>
        <v/>
      </c>
      <c r="W185" s="50" t="str">
        <f t="shared" si="25"/>
        <v/>
      </c>
      <c r="X185" s="47"/>
      <c r="Y185" s="42"/>
      <c r="Z185" s="48"/>
      <c r="AA185" s="44">
        <f t="shared" si="26"/>
        <v>0</v>
      </c>
      <c r="AB185" s="49" t="str">
        <f t="shared" si="27"/>
        <v/>
      </c>
      <c r="AC185" s="50" t="str">
        <f t="shared" si="28"/>
        <v/>
      </c>
    </row>
    <row r="186" spans="1:29">
      <c r="B186" s="52" t="str">
        <f>[1]!ArticleCode(Art_20.50.)</f>
        <v>20.50.</v>
      </c>
      <c r="C186" s="53" t="str">
        <f>[1]!ArticleDescription(Art_20.50.)</f>
        <v>niet-dragende binnenmuur – algemeen</v>
      </c>
      <c r="D186" s="42"/>
      <c r="E186" s="42"/>
      <c r="F186" s="42"/>
      <c r="G186" s="42"/>
      <c r="H186" s="44"/>
      <c r="I186" s="44"/>
      <c r="J186" s="45"/>
      <c r="K186" s="46"/>
      <c r="L186" s="47"/>
      <c r="M186" s="42"/>
      <c r="N186" s="48"/>
      <c r="O186" s="44">
        <f t="shared" si="20"/>
        <v>0</v>
      </c>
      <c r="P186" s="49" t="str">
        <f t="shared" si="21"/>
        <v/>
      </c>
      <c r="Q186" s="50" t="str">
        <f t="shared" si="22"/>
        <v/>
      </c>
      <c r="R186" s="47"/>
      <c r="S186" s="42"/>
      <c r="T186" s="48"/>
      <c r="U186" s="44">
        <f t="shared" si="23"/>
        <v>0</v>
      </c>
      <c r="V186" s="49" t="str">
        <f t="shared" si="24"/>
        <v/>
      </c>
      <c r="W186" s="50" t="str">
        <f t="shared" si="25"/>
        <v/>
      </c>
      <c r="X186" s="47"/>
      <c r="Y186" s="42"/>
      <c r="Z186" s="48"/>
      <c r="AA186" s="44">
        <f t="shared" si="26"/>
        <v>0</v>
      </c>
      <c r="AB186" s="49" t="str">
        <f t="shared" si="27"/>
        <v/>
      </c>
      <c r="AC186" s="50" t="str">
        <f t="shared" si="28"/>
        <v/>
      </c>
    </row>
    <row r="187" spans="1:29">
      <c r="B187" s="52" t="str">
        <f>[1]!ArticleCode(Art_20.51.)</f>
        <v>20.51.</v>
      </c>
      <c r="C187" s="53" t="str">
        <f>[1]!ArticleDescription(Art_20.51.)</f>
        <v>niet-dragende binnenmuur – snelbouw</v>
      </c>
      <c r="D187" s="42"/>
      <c r="E187" s="42"/>
      <c r="F187" s="42"/>
      <c r="G187" s="42"/>
      <c r="H187" s="44"/>
      <c r="I187" s="44"/>
      <c r="J187" s="45"/>
      <c r="K187" s="46"/>
      <c r="L187" s="47"/>
      <c r="M187" s="42"/>
      <c r="N187" s="48"/>
      <c r="O187" s="44">
        <f t="shared" si="20"/>
        <v>0</v>
      </c>
      <c r="P187" s="49" t="str">
        <f t="shared" si="21"/>
        <v/>
      </c>
      <c r="Q187" s="50" t="str">
        <f t="shared" si="22"/>
        <v/>
      </c>
      <c r="R187" s="47"/>
      <c r="S187" s="42"/>
      <c r="T187" s="48"/>
      <c r="U187" s="44">
        <f t="shared" si="23"/>
        <v>0</v>
      </c>
      <c r="V187" s="49" t="str">
        <f t="shared" si="24"/>
        <v/>
      </c>
      <c r="W187" s="50" t="str">
        <f t="shared" si="25"/>
        <v/>
      </c>
      <c r="X187" s="47"/>
      <c r="Y187" s="42"/>
      <c r="Z187" s="48"/>
      <c r="AA187" s="44">
        <f t="shared" si="26"/>
        <v>0</v>
      </c>
      <c r="AB187" s="49" t="str">
        <f t="shared" si="27"/>
        <v/>
      </c>
      <c r="AC187" s="50" t="str">
        <f t="shared" si="28"/>
        <v/>
      </c>
    </row>
    <row r="188" spans="1:29">
      <c r="A188" s="51">
        <f>A185+1</f>
        <v>58</v>
      </c>
      <c r="B188" s="52" t="str">
        <f>[1]!ArticleCode(Art_20.51.20.)</f>
        <v>20.51.20.</v>
      </c>
      <c r="C188" s="53" t="str">
        <f>[1]!ArticleDescription(Art_20.51.20.)</f>
        <v>niet-dragende binnenmuur – snelbouw/dikte 14 cm (meegaand gevoegd)</v>
      </c>
      <c r="D188" s="42" t="str">
        <f>[1]!ArticleMeasureType(Art_20.51.20.)</f>
        <v>FH</v>
      </c>
      <c r="E188" s="42" t="str">
        <f>[1]!ArticleMeasureUnit(Art_20.51.20.)</f>
        <v>m3</v>
      </c>
      <c r="F188" s="122">
        <f>[1]!ArticleQuantity(Art_20.51.20.)</f>
        <v>6.3310000000000004</v>
      </c>
      <c r="G188" s="42"/>
      <c r="H188" s="44"/>
      <c r="I188" s="44">
        <f>IF(RIGHT($D188,1)="-","************",ROUND(IF(NOT(ISNUMBER(G188)),IF(NOT(ISNUMBER(F188)),1,F188),G188)*H188,2))</f>
        <v>0</v>
      </c>
      <c r="J188" s="45"/>
      <c r="K188" s="46"/>
      <c r="L188" s="47"/>
      <c r="M188" s="42"/>
      <c r="N188" s="48"/>
      <c r="O188" s="44">
        <f t="shared" si="20"/>
        <v>0</v>
      </c>
      <c r="P188" s="49" t="str">
        <f t="shared" si="21"/>
        <v/>
      </c>
      <c r="Q188" s="50" t="str">
        <f t="shared" si="22"/>
        <v/>
      </c>
      <c r="R188" s="47"/>
      <c r="S188" s="42"/>
      <c r="T188" s="48"/>
      <c r="U188" s="44">
        <f t="shared" si="23"/>
        <v>0</v>
      </c>
      <c r="V188" s="49" t="str">
        <f t="shared" si="24"/>
        <v/>
      </c>
      <c r="W188" s="50" t="str">
        <f t="shared" si="25"/>
        <v/>
      </c>
      <c r="X188" s="47"/>
      <c r="Y188" s="42"/>
      <c r="Z188" s="48"/>
      <c r="AA188" s="44">
        <f t="shared" si="26"/>
        <v>0</v>
      </c>
      <c r="AB188" s="49" t="str">
        <f t="shared" si="27"/>
        <v/>
      </c>
      <c r="AC188" s="50" t="str">
        <f t="shared" si="28"/>
        <v/>
      </c>
    </row>
    <row r="189" spans="1:29">
      <c r="B189" s="54"/>
      <c r="C189" s="55"/>
      <c r="D189" s="56"/>
      <c r="E189" s="55"/>
      <c r="F189" s="55"/>
      <c r="G189" s="55"/>
      <c r="H189" s="57"/>
      <c r="I189" s="57"/>
      <c r="J189" s="58">
        <f>SUBTOTAL(9,I174:I188)</f>
        <v>0</v>
      </c>
      <c r="K189" s="46"/>
      <c r="L189" s="47"/>
      <c r="M189" s="42"/>
      <c r="N189" s="48"/>
      <c r="O189" s="44">
        <f t="shared" si="20"/>
        <v>0</v>
      </c>
      <c r="P189" s="49" t="str">
        <f t="shared" si="21"/>
        <v/>
      </c>
      <c r="Q189" s="50" t="str">
        <f t="shared" si="22"/>
        <v/>
      </c>
      <c r="R189" s="47"/>
      <c r="S189" s="42"/>
      <c r="T189" s="48"/>
      <c r="U189" s="44">
        <f t="shared" si="23"/>
        <v>0</v>
      </c>
      <c r="V189" s="49" t="str">
        <f t="shared" si="24"/>
        <v/>
      </c>
      <c r="W189" s="50" t="str">
        <f t="shared" si="25"/>
        <v/>
      </c>
      <c r="X189" s="47"/>
      <c r="Y189" s="42"/>
      <c r="Z189" s="48"/>
      <c r="AA189" s="44">
        <f t="shared" si="26"/>
        <v>0</v>
      </c>
      <c r="AB189" s="49" t="str">
        <f t="shared" si="27"/>
        <v/>
      </c>
      <c r="AC189" s="50" t="str">
        <f t="shared" si="28"/>
        <v/>
      </c>
    </row>
    <row r="190" spans="1:29">
      <c r="B190" s="59"/>
      <c r="C190" s="42"/>
      <c r="D190" s="42"/>
      <c r="E190" s="42"/>
      <c r="F190" s="42"/>
      <c r="G190" s="42"/>
      <c r="H190" s="44"/>
      <c r="I190" s="44"/>
      <c r="J190" s="45"/>
      <c r="K190" s="46"/>
      <c r="L190" s="47"/>
      <c r="M190" s="42"/>
      <c r="N190" s="48"/>
      <c r="O190" s="44">
        <f t="shared" si="20"/>
        <v>0</v>
      </c>
      <c r="P190" s="49" t="str">
        <f t="shared" si="21"/>
        <v/>
      </c>
      <c r="Q190" s="50" t="str">
        <f t="shared" si="22"/>
        <v/>
      </c>
      <c r="R190" s="47"/>
      <c r="S190" s="42"/>
      <c r="T190" s="48"/>
      <c r="U190" s="44">
        <f t="shared" si="23"/>
        <v>0</v>
      </c>
      <c r="V190" s="49" t="str">
        <f t="shared" si="24"/>
        <v/>
      </c>
      <c r="W190" s="50" t="str">
        <f t="shared" si="25"/>
        <v/>
      </c>
      <c r="X190" s="47"/>
      <c r="Y190" s="42"/>
      <c r="Z190" s="48"/>
      <c r="AA190" s="44">
        <f t="shared" si="26"/>
        <v>0</v>
      </c>
      <c r="AB190" s="49" t="str">
        <f t="shared" si="27"/>
        <v/>
      </c>
      <c r="AC190" s="50" t="str">
        <f t="shared" si="28"/>
        <v/>
      </c>
    </row>
    <row r="191" spans="1:29">
      <c r="B191" s="41" t="s">
        <v>395</v>
      </c>
      <c r="C191" s="42"/>
      <c r="D191" s="43"/>
      <c r="E191" s="42"/>
      <c r="F191" s="42"/>
      <c r="G191" s="42"/>
      <c r="H191" s="44"/>
      <c r="I191" s="44"/>
      <c r="J191" s="45"/>
      <c r="K191" s="46"/>
      <c r="L191" s="47"/>
      <c r="M191" s="42"/>
      <c r="N191" s="48"/>
      <c r="O191" s="44">
        <f t="shared" si="20"/>
        <v>0</v>
      </c>
      <c r="P191" s="49" t="str">
        <f t="shared" si="21"/>
        <v/>
      </c>
      <c r="Q191" s="50" t="str">
        <f t="shared" si="22"/>
        <v/>
      </c>
      <c r="R191" s="47"/>
      <c r="S191" s="42"/>
      <c r="T191" s="48"/>
      <c r="U191" s="44">
        <f t="shared" si="23"/>
        <v>0</v>
      </c>
      <c r="V191" s="49" t="str">
        <f t="shared" si="24"/>
        <v/>
      </c>
      <c r="W191" s="50" t="str">
        <f t="shared" si="25"/>
        <v/>
      </c>
      <c r="X191" s="47"/>
      <c r="Y191" s="42"/>
      <c r="Z191" s="48"/>
      <c r="AA191" s="44">
        <f t="shared" si="26"/>
        <v>0</v>
      </c>
      <c r="AB191" s="49" t="str">
        <f t="shared" si="27"/>
        <v/>
      </c>
      <c r="AC191" s="50" t="str">
        <f t="shared" si="28"/>
        <v/>
      </c>
    </row>
    <row r="192" spans="1:29">
      <c r="B192" s="52" t="str">
        <f>[1]!ArticleCode(Art_22.)</f>
        <v>22.</v>
      </c>
      <c r="C192" s="53" t="str">
        <f>[1]!ArticleDescription(Art_22.)</f>
        <v>GEVELMETSELWERK</v>
      </c>
      <c r="D192" s="42"/>
      <c r="E192" s="42"/>
      <c r="F192" s="42"/>
      <c r="G192" s="42"/>
      <c r="H192" s="44"/>
      <c r="I192" s="44"/>
      <c r="J192" s="45"/>
      <c r="K192" s="46"/>
      <c r="L192" s="47"/>
      <c r="M192" s="42"/>
      <c r="N192" s="48"/>
      <c r="O192" s="44">
        <f t="shared" si="20"/>
        <v>0</v>
      </c>
      <c r="P192" s="49" t="str">
        <f t="shared" si="21"/>
        <v/>
      </c>
      <c r="Q192" s="50" t="str">
        <f t="shared" si="22"/>
        <v/>
      </c>
      <c r="R192" s="47"/>
      <c r="S192" s="42"/>
      <c r="T192" s="48"/>
      <c r="U192" s="44">
        <f t="shared" si="23"/>
        <v>0</v>
      </c>
      <c r="V192" s="49" t="str">
        <f t="shared" si="24"/>
        <v/>
      </c>
      <c r="W192" s="50" t="str">
        <f t="shared" si="25"/>
        <v/>
      </c>
      <c r="X192" s="47"/>
      <c r="Y192" s="42"/>
      <c r="Z192" s="48"/>
      <c r="AA192" s="44">
        <f t="shared" si="26"/>
        <v>0</v>
      </c>
      <c r="AB192" s="49" t="str">
        <f t="shared" si="27"/>
        <v/>
      </c>
      <c r="AC192" s="50" t="str">
        <f t="shared" si="28"/>
        <v/>
      </c>
    </row>
    <row r="193" spans="1:29">
      <c r="B193" s="52" t="str">
        <f>[1]!ArticleCode(Art_22.00.)</f>
        <v>22.00.</v>
      </c>
      <c r="C193" s="53" t="str">
        <f>[1]!ArticleDescription(Art_22.00.)</f>
        <v>gevelmetselwerken - algemeen</v>
      </c>
      <c r="D193" s="42"/>
      <c r="E193" s="42"/>
      <c r="F193" s="42"/>
      <c r="G193" s="42"/>
      <c r="H193" s="44"/>
      <c r="I193" s="44"/>
      <c r="J193" s="45"/>
      <c r="K193" s="46"/>
      <c r="L193" s="47"/>
      <c r="M193" s="42"/>
      <c r="N193" s="48"/>
      <c r="O193" s="44">
        <f t="shared" si="20"/>
        <v>0</v>
      </c>
      <c r="P193" s="49" t="str">
        <f t="shared" si="21"/>
        <v/>
      </c>
      <c r="Q193" s="50" t="str">
        <f t="shared" si="22"/>
        <v/>
      </c>
      <c r="R193" s="47"/>
      <c r="S193" s="42"/>
      <c r="T193" s="48"/>
      <c r="U193" s="44">
        <f t="shared" si="23"/>
        <v>0</v>
      </c>
      <c r="V193" s="49" t="str">
        <f t="shared" si="24"/>
        <v/>
      </c>
      <c r="W193" s="50" t="str">
        <f t="shared" si="25"/>
        <v/>
      </c>
      <c r="X193" s="47"/>
      <c r="Y193" s="42"/>
      <c r="Z193" s="48"/>
      <c r="AA193" s="44">
        <f t="shared" si="26"/>
        <v>0</v>
      </c>
      <c r="AB193" s="49" t="str">
        <f t="shared" si="27"/>
        <v/>
      </c>
      <c r="AC193" s="50" t="str">
        <f t="shared" si="28"/>
        <v/>
      </c>
    </row>
    <row r="194" spans="1:29">
      <c r="B194" s="52" t="str">
        <f>[1]!ArticleCode(Art_22.01.)</f>
        <v>22.01.</v>
      </c>
      <c r="C194" s="53" t="str">
        <f>[1]!ArticleDescription(Art_22.01.)</f>
        <v>algemeen – ter plaatse gemetst gevelmetselwerk</v>
      </c>
      <c r="D194" s="42"/>
      <c r="E194" s="42"/>
      <c r="F194" s="42"/>
      <c r="G194" s="42"/>
      <c r="H194" s="44"/>
      <c r="I194" s="44"/>
      <c r="J194" s="45"/>
      <c r="K194" s="46"/>
      <c r="L194" s="47"/>
      <c r="M194" s="42"/>
      <c r="N194" s="48"/>
      <c r="O194" s="44">
        <f t="shared" si="20"/>
        <v>0</v>
      </c>
      <c r="P194" s="49" t="str">
        <f t="shared" si="21"/>
        <v/>
      </c>
      <c r="Q194" s="50" t="str">
        <f t="shared" si="22"/>
        <v/>
      </c>
      <c r="R194" s="47"/>
      <c r="S194" s="42"/>
      <c r="T194" s="48"/>
      <c r="U194" s="44">
        <f t="shared" si="23"/>
        <v>0</v>
      </c>
      <c r="V194" s="49" t="str">
        <f t="shared" si="24"/>
        <v/>
      </c>
      <c r="W194" s="50" t="str">
        <f t="shared" si="25"/>
        <v/>
      </c>
      <c r="X194" s="47"/>
      <c r="Y194" s="42"/>
      <c r="Z194" s="48"/>
      <c r="AA194" s="44">
        <f t="shared" si="26"/>
        <v>0</v>
      </c>
      <c r="AB194" s="49" t="str">
        <f t="shared" si="27"/>
        <v/>
      </c>
      <c r="AC194" s="50" t="str">
        <f t="shared" si="28"/>
        <v/>
      </c>
    </row>
    <row r="195" spans="1:29">
      <c r="B195" s="52" t="str">
        <f>[1]!ArticleCode(Art_22.10.)</f>
        <v>22.10.</v>
      </c>
      <c r="C195" s="53" t="str">
        <f>[1]!ArticleDescription(Art_22.10.)</f>
        <v>materialen – algemeen</v>
      </c>
      <c r="D195" s="42"/>
      <c r="E195" s="42"/>
      <c r="F195" s="42"/>
      <c r="G195" s="42"/>
      <c r="H195" s="44"/>
      <c r="I195" s="44"/>
      <c r="J195" s="45"/>
      <c r="K195" s="46"/>
      <c r="L195" s="47"/>
      <c r="M195" s="42"/>
      <c r="N195" s="48"/>
      <c r="O195" s="44">
        <f t="shared" si="20"/>
        <v>0</v>
      </c>
      <c r="P195" s="49" t="str">
        <f t="shared" si="21"/>
        <v/>
      </c>
      <c r="Q195" s="50" t="str">
        <f t="shared" si="22"/>
        <v/>
      </c>
      <c r="R195" s="47"/>
      <c r="S195" s="42"/>
      <c r="T195" s="48"/>
      <c r="U195" s="44">
        <f t="shared" si="23"/>
        <v>0</v>
      </c>
      <c r="V195" s="49" t="str">
        <f t="shared" si="24"/>
        <v/>
      </c>
      <c r="W195" s="50" t="str">
        <f t="shared" si="25"/>
        <v/>
      </c>
      <c r="X195" s="47"/>
      <c r="Y195" s="42"/>
      <c r="Z195" s="48"/>
      <c r="AA195" s="44">
        <f t="shared" si="26"/>
        <v>0</v>
      </c>
      <c r="AB195" s="49" t="str">
        <f t="shared" si="27"/>
        <v/>
      </c>
      <c r="AC195" s="50" t="str">
        <f t="shared" si="28"/>
        <v/>
      </c>
    </row>
    <row r="196" spans="1:29">
      <c r="B196" s="52" t="str">
        <f>[1]!ArticleCode(Art_22.11.)</f>
        <v>22.11.</v>
      </c>
      <c r="C196" s="53" t="str">
        <f>[1]!ArticleDescription(Art_22.11.)</f>
        <v>materialen – mortel</v>
      </c>
      <c r="D196" s="42"/>
      <c r="E196" s="42"/>
      <c r="F196" s="42"/>
      <c r="G196" s="42"/>
      <c r="H196" s="44"/>
      <c r="I196" s="44"/>
      <c r="J196" s="45"/>
      <c r="K196" s="46"/>
      <c r="L196" s="47"/>
      <c r="M196" s="42"/>
      <c r="N196" s="48"/>
      <c r="O196" s="44">
        <f t="shared" si="20"/>
        <v>0</v>
      </c>
      <c r="P196" s="49" t="str">
        <f t="shared" si="21"/>
        <v/>
      </c>
      <c r="Q196" s="50" t="str">
        <f t="shared" si="22"/>
        <v/>
      </c>
      <c r="R196" s="47"/>
      <c r="S196" s="42"/>
      <c r="T196" s="48"/>
      <c r="U196" s="44">
        <f t="shared" si="23"/>
        <v>0</v>
      </c>
      <c r="V196" s="49" t="str">
        <f t="shared" si="24"/>
        <v/>
      </c>
      <c r="W196" s="50" t="str">
        <f t="shared" si="25"/>
        <v/>
      </c>
      <c r="X196" s="47"/>
      <c r="Y196" s="42"/>
      <c r="Z196" s="48"/>
      <c r="AA196" s="44">
        <f t="shared" si="26"/>
        <v>0</v>
      </c>
      <c r="AB196" s="49" t="str">
        <f t="shared" si="27"/>
        <v/>
      </c>
      <c r="AC196" s="50" t="str">
        <f t="shared" si="28"/>
        <v/>
      </c>
    </row>
    <row r="197" spans="1:29">
      <c r="B197" s="52" t="str">
        <f>[1]!ArticleCode(Art_22.11.10.)</f>
        <v>22.11.10.</v>
      </c>
      <c r="C197" s="53" t="str">
        <f>[1]!ArticleDescription(Art_22.11.10.)</f>
        <v>materialen – mortel/metselmortel</v>
      </c>
      <c r="D197" s="42"/>
      <c r="E197" s="42"/>
      <c r="F197" s="42"/>
      <c r="G197" s="42"/>
      <c r="H197" s="44"/>
      <c r="I197" s="44"/>
      <c r="J197" s="45"/>
      <c r="K197" s="46"/>
      <c r="L197" s="47"/>
      <c r="M197" s="42"/>
      <c r="N197" s="48"/>
      <c r="O197" s="44">
        <f t="shared" si="20"/>
        <v>0</v>
      </c>
      <c r="P197" s="49" t="str">
        <f t="shared" si="21"/>
        <v/>
      </c>
      <c r="Q197" s="50" t="str">
        <f t="shared" si="22"/>
        <v/>
      </c>
      <c r="R197" s="47"/>
      <c r="S197" s="42"/>
      <c r="T197" s="48"/>
      <c r="U197" s="44">
        <f t="shared" si="23"/>
        <v>0</v>
      </c>
      <c r="V197" s="49" t="str">
        <f t="shared" si="24"/>
        <v/>
      </c>
      <c r="W197" s="50" t="str">
        <f t="shared" si="25"/>
        <v/>
      </c>
      <c r="X197" s="47"/>
      <c r="Y197" s="42"/>
      <c r="Z197" s="48"/>
      <c r="AA197" s="44">
        <f t="shared" si="26"/>
        <v>0</v>
      </c>
      <c r="AB197" s="49" t="str">
        <f t="shared" si="27"/>
        <v/>
      </c>
      <c r="AC197" s="50" t="str">
        <f t="shared" si="28"/>
        <v/>
      </c>
    </row>
    <row r="198" spans="1:29">
      <c r="A198" s="51">
        <f>A188+1</f>
        <v>59</v>
      </c>
      <c r="B198" s="52" t="str">
        <f>[1]!ArticleCode(Art_22.11.11.)</f>
        <v>22.11.11.</v>
      </c>
      <c r="C198" s="53" t="str">
        <f>[1]!ArticleDescription(Art_22.11.11.)</f>
        <v>materialen – mortel/metselmortel - voor algemene toepassing</v>
      </c>
      <c r="D198" s="42" t="str">
        <f>[1]!ArticleMeasureType(Art_22.11.11.)</f>
        <v>PM</v>
      </c>
      <c r="E198" s="42" t="str">
        <f>[1]!ArticleMeasureUnit(Art_22.11.11.)</f>
        <v/>
      </c>
      <c r="F198" s="60" t="str">
        <f>[1]!ArticleQuantity(Art_22.11.11.)</f>
        <v/>
      </c>
      <c r="G198" s="42"/>
      <c r="H198" s="44"/>
      <c r="I198" s="44">
        <f>IF(RIGHT($D198,1)="-","************",ROUND(IF(NOT(ISNUMBER(G198)),IF(NOT(ISNUMBER(F198)),1,F198),G198)*H198,2))</f>
        <v>0</v>
      </c>
      <c r="J198" s="45"/>
      <c r="K198" s="46"/>
      <c r="L198" s="47"/>
      <c r="M198" s="42"/>
      <c r="N198" s="48"/>
      <c r="O198" s="44">
        <f t="shared" si="20"/>
        <v>0</v>
      </c>
      <c r="P198" s="49" t="str">
        <f t="shared" si="21"/>
        <v/>
      </c>
      <c r="Q198" s="50" t="str">
        <f t="shared" si="22"/>
        <v/>
      </c>
      <c r="R198" s="47"/>
      <c r="S198" s="42"/>
      <c r="T198" s="48"/>
      <c r="U198" s="44">
        <f t="shared" si="23"/>
        <v>0</v>
      </c>
      <c r="V198" s="49" t="str">
        <f t="shared" si="24"/>
        <v/>
      </c>
      <c r="W198" s="50" t="str">
        <f t="shared" si="25"/>
        <v/>
      </c>
      <c r="X198" s="47"/>
      <c r="Y198" s="42"/>
      <c r="Z198" s="48"/>
      <c r="AA198" s="44">
        <f t="shared" si="26"/>
        <v>0</v>
      </c>
      <c r="AB198" s="49" t="str">
        <f t="shared" si="27"/>
        <v/>
      </c>
      <c r="AC198" s="50" t="str">
        <f t="shared" si="28"/>
        <v/>
      </c>
    </row>
    <row r="199" spans="1:29">
      <c r="B199" s="52" t="str">
        <f>[1]!ArticleCode(Art_22.11.20.)</f>
        <v>22.11.20.</v>
      </c>
      <c r="C199" s="53" t="str">
        <f>[1]!ArticleDescription(Art_22.11.20.)</f>
        <v>materialen – mortel/voegmortel</v>
      </c>
      <c r="D199" s="42"/>
      <c r="E199" s="42"/>
      <c r="F199" s="42"/>
      <c r="G199" s="42"/>
      <c r="H199" s="44"/>
      <c r="I199" s="44"/>
      <c r="J199" s="45"/>
      <c r="K199" s="46"/>
      <c r="L199" s="47"/>
      <c r="M199" s="42"/>
      <c r="N199" s="48"/>
      <c r="O199" s="44">
        <f t="shared" si="20"/>
        <v>0</v>
      </c>
      <c r="P199" s="49" t="str">
        <f t="shared" si="21"/>
        <v/>
      </c>
      <c r="Q199" s="50" t="str">
        <f t="shared" si="22"/>
        <v/>
      </c>
      <c r="R199" s="47"/>
      <c r="S199" s="42"/>
      <c r="T199" s="48"/>
      <c r="U199" s="44">
        <f t="shared" si="23"/>
        <v>0</v>
      </c>
      <c r="V199" s="49" t="str">
        <f t="shared" si="24"/>
        <v/>
      </c>
      <c r="W199" s="50" t="str">
        <f t="shared" si="25"/>
        <v/>
      </c>
      <c r="X199" s="47"/>
      <c r="Y199" s="42"/>
      <c r="Z199" s="48"/>
      <c r="AA199" s="44">
        <f t="shared" si="26"/>
        <v>0</v>
      </c>
      <c r="AB199" s="49" t="str">
        <f t="shared" si="27"/>
        <v/>
      </c>
      <c r="AC199" s="50" t="str">
        <f t="shared" si="28"/>
        <v/>
      </c>
    </row>
    <row r="200" spans="1:29">
      <c r="A200" s="51">
        <f>A198+1</f>
        <v>60</v>
      </c>
      <c r="B200" s="52" t="str">
        <f>[1]!ArticleCode(Art_22.14.)</f>
        <v>22.14.</v>
      </c>
      <c r="C200" s="53" t="str">
        <f>[1]!ArticleDescription(Art_22.14.)</f>
        <v>materialen – wapening</v>
      </c>
      <c r="D200" s="42" t="str">
        <f>[1]!ArticleMeasureType(Art_22.14.)</f>
        <v/>
      </c>
      <c r="E200" s="42" t="str">
        <f>[1]!ArticleMeasureUnit(Art_22.14.)</f>
        <v/>
      </c>
      <c r="F200" s="61" t="str">
        <f>[1]!ArticleQuantity(Art_22.14.)</f>
        <v/>
      </c>
      <c r="G200" s="42"/>
      <c r="H200" s="44"/>
      <c r="I200" s="44">
        <f>IF(RIGHT($D200,1)="-","************",ROUND(IF(NOT(ISNUMBER(G200)),IF(NOT(ISNUMBER(F200)),1,F200),G200)*H200,2))</f>
        <v>0</v>
      </c>
      <c r="J200" s="45"/>
      <c r="K200" s="46"/>
      <c r="L200" s="47"/>
      <c r="M200" s="42"/>
      <c r="N200" s="48"/>
      <c r="O200" s="44">
        <f t="shared" si="20"/>
        <v>0</v>
      </c>
      <c r="P200" s="49" t="str">
        <f t="shared" si="21"/>
        <v/>
      </c>
      <c r="Q200" s="50" t="str">
        <f t="shared" si="22"/>
        <v/>
      </c>
      <c r="R200" s="47"/>
      <c r="S200" s="42"/>
      <c r="T200" s="48"/>
      <c r="U200" s="44">
        <f t="shared" si="23"/>
        <v>0</v>
      </c>
      <c r="V200" s="49" t="str">
        <f t="shared" si="24"/>
        <v/>
      </c>
      <c r="W200" s="50" t="str">
        <f t="shared" si="25"/>
        <v/>
      </c>
      <c r="X200" s="47"/>
      <c r="Y200" s="42"/>
      <c r="Z200" s="48"/>
      <c r="AA200" s="44">
        <f t="shared" si="26"/>
        <v>0</v>
      </c>
      <c r="AB200" s="49" t="str">
        <f t="shared" si="27"/>
        <v/>
      </c>
      <c r="AC200" s="50" t="str">
        <f t="shared" si="28"/>
        <v/>
      </c>
    </row>
    <row r="201" spans="1:29">
      <c r="B201" s="52" t="str">
        <f>[1]!ArticleCode(Art_22.20.)</f>
        <v>22.20.</v>
      </c>
      <c r="C201" s="53" t="str">
        <f>[1]!ArticleDescription(Art_22.20.)</f>
        <v>gevelstenen – algemeen</v>
      </c>
      <c r="D201" s="42"/>
      <c r="E201" s="42"/>
      <c r="F201" s="42"/>
      <c r="G201" s="42"/>
      <c r="H201" s="44"/>
      <c r="I201" s="44"/>
      <c r="J201" s="45"/>
      <c r="K201" s="46"/>
      <c r="L201" s="47"/>
      <c r="M201" s="42"/>
      <c r="N201" s="48"/>
      <c r="O201" s="44">
        <f t="shared" si="20"/>
        <v>0</v>
      </c>
      <c r="P201" s="49" t="str">
        <f t="shared" si="21"/>
        <v/>
      </c>
      <c r="Q201" s="50" t="str">
        <f t="shared" si="22"/>
        <v/>
      </c>
      <c r="R201" s="47"/>
      <c r="S201" s="42"/>
      <c r="T201" s="48"/>
      <c r="U201" s="44">
        <f t="shared" si="23"/>
        <v>0</v>
      </c>
      <c r="V201" s="49" t="str">
        <f t="shared" si="24"/>
        <v/>
      </c>
      <c r="W201" s="50" t="str">
        <f t="shared" si="25"/>
        <v/>
      </c>
      <c r="X201" s="47"/>
      <c r="Y201" s="42"/>
      <c r="Z201" s="48"/>
      <c r="AA201" s="44">
        <f t="shared" si="26"/>
        <v>0</v>
      </c>
      <c r="AB201" s="49" t="str">
        <f t="shared" si="27"/>
        <v/>
      </c>
      <c r="AC201" s="50" t="str">
        <f t="shared" si="28"/>
        <v/>
      </c>
    </row>
    <row r="202" spans="1:29">
      <c r="B202" s="52" t="str">
        <f>[1]!ArticleCode(Art_22.21.)</f>
        <v>22.21.</v>
      </c>
      <c r="C202" s="53" t="str">
        <f>[1]!ArticleDescription(Art_22.21.)</f>
        <v>gevelstenen – baksteen</v>
      </c>
      <c r="D202" s="42"/>
      <c r="E202" s="42"/>
      <c r="F202" s="42"/>
      <c r="G202" s="42"/>
      <c r="H202" s="44"/>
      <c r="I202" s="44"/>
      <c r="J202" s="45"/>
      <c r="K202" s="46"/>
      <c r="L202" s="47"/>
      <c r="M202" s="42"/>
      <c r="N202" s="48"/>
      <c r="O202" s="44">
        <f t="shared" ref="O202:O245" si="29">IF(MID($D202,3,1)="-","*********",ROUND(IF(NOT(ISNUMBER($G202)),IF(NOT(ISNUMBER($F202)),1,$F202),$G202)*(IF(NOT(ISNUMBER(N202)),L202,N202)),2))</f>
        <v>0</v>
      </c>
      <c r="P202" s="49" t="str">
        <f t="shared" ref="P202:P245" si="30">IF(O$246=0,"",O202/O$246)</f>
        <v/>
      </c>
      <c r="Q202" s="50" t="str">
        <f t="shared" ref="Q202:Q245" si="31">IF($K202=0,"",IF(NOT(ISNUMBER(N202)),L202,N202)/$K202-1)</f>
        <v/>
      </c>
      <c r="R202" s="47"/>
      <c r="S202" s="42"/>
      <c r="T202" s="48"/>
      <c r="U202" s="44">
        <f t="shared" ref="U202:U245" si="32">IF(MID($D202,3,1)="-","*********",ROUND(IF(NOT(ISNUMBER($G202)),IF(NOT(ISNUMBER($F202)),1,$F202),$G202)*(IF(NOT(ISNUMBER(T202)),R202,T202)),2))</f>
        <v>0</v>
      </c>
      <c r="V202" s="49" t="str">
        <f t="shared" ref="V202:V245" si="33">IF(U$246=0,"",U202/U$246)</f>
        <v/>
      </c>
      <c r="W202" s="50" t="str">
        <f t="shared" ref="W202:W245" si="34">IF($K202=0,"",IF(NOT(ISNUMBER(T202)),R202,T202)/$K202-1)</f>
        <v/>
      </c>
      <c r="X202" s="47"/>
      <c r="Y202" s="42"/>
      <c r="Z202" s="48"/>
      <c r="AA202" s="44">
        <f t="shared" ref="AA202:AA245" si="35">IF(MID($D202,3,1)="-","*********",ROUND(IF(NOT(ISNUMBER($G202)),IF(NOT(ISNUMBER($F202)),1,$F202),$G202)*(IF(NOT(ISNUMBER(Z202)),X202,Z202)),2))</f>
        <v>0</v>
      </c>
      <c r="AB202" s="49" t="str">
        <f t="shared" ref="AB202:AB245" si="36">IF(AA$246=0,"",AA202/AA$246)</f>
        <v/>
      </c>
      <c r="AC202" s="50" t="str">
        <f t="shared" ref="AC202:AC245" si="37">IF($K202=0,"",IF(NOT(ISNUMBER(Z202)),X202,Z202)/$K202-1)</f>
        <v/>
      </c>
    </row>
    <row r="203" spans="1:29">
      <c r="B203" s="52" t="str">
        <f>[1]!ArticleCode(Art_22.21.10.)</f>
        <v>22.21.10.</v>
      </c>
      <c r="C203" s="53" t="str">
        <f>[1]!ArticleDescription(Art_22.21.10.)</f>
        <v>gevelstenen – baksteen/strengpersstenen</v>
      </c>
      <c r="D203" s="42"/>
      <c r="E203" s="42"/>
      <c r="F203" s="42"/>
      <c r="G203" s="42"/>
      <c r="H203" s="44"/>
      <c r="I203" s="44"/>
      <c r="J203" s="45"/>
      <c r="K203" s="46"/>
      <c r="L203" s="47"/>
      <c r="M203" s="42"/>
      <c r="N203" s="48"/>
      <c r="O203" s="44">
        <f t="shared" si="29"/>
        <v>0</v>
      </c>
      <c r="P203" s="49" t="str">
        <f t="shared" si="30"/>
        <v/>
      </c>
      <c r="Q203" s="50" t="str">
        <f t="shared" si="31"/>
        <v/>
      </c>
      <c r="R203" s="47"/>
      <c r="S203" s="42"/>
      <c r="T203" s="48"/>
      <c r="U203" s="44">
        <f t="shared" si="32"/>
        <v>0</v>
      </c>
      <c r="V203" s="49" t="str">
        <f t="shared" si="33"/>
        <v/>
      </c>
      <c r="W203" s="50" t="str">
        <f t="shared" si="34"/>
        <v/>
      </c>
      <c r="X203" s="47"/>
      <c r="Y203" s="42"/>
      <c r="Z203" s="48"/>
      <c r="AA203" s="44">
        <f t="shared" si="35"/>
        <v>0</v>
      </c>
      <c r="AB203" s="49" t="str">
        <f t="shared" si="36"/>
        <v/>
      </c>
      <c r="AC203" s="50" t="str">
        <f t="shared" si="37"/>
        <v/>
      </c>
    </row>
    <row r="204" spans="1:29">
      <c r="B204" s="52" t="str">
        <f>[1]!ArticleCode(Art_22.30.)</f>
        <v>22.30.</v>
      </c>
      <c r="C204" s="53" t="str">
        <f>[1]!ArticleDescription(Art_22.30.)</f>
        <v>renovatiewerken – algemeen</v>
      </c>
      <c r="D204" s="42"/>
      <c r="E204" s="42"/>
      <c r="F204" s="42"/>
      <c r="G204" s="42"/>
      <c r="H204" s="44"/>
      <c r="I204" s="44"/>
      <c r="J204" s="45"/>
      <c r="K204" s="46"/>
      <c r="L204" s="47"/>
      <c r="M204" s="42"/>
      <c r="N204" s="48"/>
      <c r="O204" s="44">
        <f t="shared" si="29"/>
        <v>0</v>
      </c>
      <c r="P204" s="49" t="str">
        <f t="shared" si="30"/>
        <v/>
      </c>
      <c r="Q204" s="50" t="str">
        <f t="shared" si="31"/>
        <v/>
      </c>
      <c r="R204" s="47"/>
      <c r="S204" s="42"/>
      <c r="T204" s="48"/>
      <c r="U204" s="44">
        <f t="shared" si="32"/>
        <v>0</v>
      </c>
      <c r="V204" s="49" t="str">
        <f t="shared" si="33"/>
        <v/>
      </c>
      <c r="W204" s="50" t="str">
        <f t="shared" si="34"/>
        <v/>
      </c>
      <c r="X204" s="47"/>
      <c r="Y204" s="42"/>
      <c r="Z204" s="48"/>
      <c r="AA204" s="44">
        <f t="shared" si="35"/>
        <v>0</v>
      </c>
      <c r="AB204" s="49" t="str">
        <f t="shared" si="36"/>
        <v/>
      </c>
      <c r="AC204" s="50" t="str">
        <f t="shared" si="37"/>
        <v/>
      </c>
    </row>
    <row r="205" spans="1:29">
      <c r="A205" s="51">
        <f>A200+1</f>
        <v>61</v>
      </c>
      <c r="B205" s="52" t="str">
        <f>[1]!ArticleCode(Art_22.31.)</f>
        <v>22.31.</v>
      </c>
      <c r="C205" s="53" t="str">
        <f>[1]!ArticleDescription(Art_22.31.)</f>
        <v>renovatiewerken – herstelling en aanpassing bestaand gevelmetselwerk (incl voegwerk)</v>
      </c>
      <c r="D205" s="42" t="str">
        <f>[1]!ArticleMeasureType(Art_22.31.)</f>
        <v>FH</v>
      </c>
      <c r="E205" s="42" t="str">
        <f>[1]!ArticleMeasureUnit(Art_22.31.)</f>
        <v>m2</v>
      </c>
      <c r="F205" s="61">
        <f>[1]!ArticleQuantity(Art_22.31.)</f>
        <v>7.3</v>
      </c>
      <c r="G205" s="42"/>
      <c r="H205" s="44"/>
      <c r="I205" s="44">
        <f>IF(RIGHT($D205,1)="-","************",ROUND(IF(NOT(ISNUMBER(G205)),IF(NOT(ISNUMBER(F205)),1,F205),G205)*H205,2))</f>
        <v>0</v>
      </c>
      <c r="J205" s="45"/>
      <c r="K205" s="46"/>
      <c r="L205" s="47"/>
      <c r="M205" s="42"/>
      <c r="N205" s="48"/>
      <c r="O205" s="44">
        <f t="shared" si="29"/>
        <v>0</v>
      </c>
      <c r="P205" s="49" t="str">
        <f t="shared" si="30"/>
        <v/>
      </c>
      <c r="Q205" s="50" t="str">
        <f t="shared" si="31"/>
        <v/>
      </c>
      <c r="R205" s="47"/>
      <c r="S205" s="42"/>
      <c r="T205" s="48"/>
      <c r="U205" s="44">
        <f t="shared" si="32"/>
        <v>0</v>
      </c>
      <c r="V205" s="49" t="str">
        <f t="shared" si="33"/>
        <v/>
      </c>
      <c r="W205" s="50" t="str">
        <f t="shared" si="34"/>
        <v/>
      </c>
      <c r="X205" s="47"/>
      <c r="Y205" s="42"/>
      <c r="Z205" s="48"/>
      <c r="AA205" s="44">
        <f t="shared" si="35"/>
        <v>0</v>
      </c>
      <c r="AB205" s="49" t="str">
        <f t="shared" si="36"/>
        <v/>
      </c>
      <c r="AC205" s="50" t="str">
        <f t="shared" si="37"/>
        <v/>
      </c>
    </row>
    <row r="206" spans="1:29">
      <c r="B206" s="54"/>
      <c r="C206" s="55"/>
      <c r="D206" s="56"/>
      <c r="E206" s="55"/>
      <c r="F206" s="55"/>
      <c r="G206" s="55"/>
      <c r="H206" s="57"/>
      <c r="I206" s="57"/>
      <c r="J206" s="58">
        <f>SUBTOTAL(9,I192:I205)</f>
        <v>0</v>
      </c>
      <c r="K206" s="46"/>
      <c r="L206" s="47"/>
      <c r="M206" s="42"/>
      <c r="N206" s="48"/>
      <c r="O206" s="44">
        <f t="shared" si="29"/>
        <v>0</v>
      </c>
      <c r="P206" s="49" t="str">
        <f t="shared" si="30"/>
        <v/>
      </c>
      <c r="Q206" s="50" t="str">
        <f t="shared" si="31"/>
        <v/>
      </c>
      <c r="R206" s="47"/>
      <c r="S206" s="42"/>
      <c r="T206" s="48"/>
      <c r="U206" s="44">
        <f t="shared" si="32"/>
        <v>0</v>
      </c>
      <c r="V206" s="49" t="str">
        <f t="shared" si="33"/>
        <v/>
      </c>
      <c r="W206" s="50" t="str">
        <f t="shared" si="34"/>
        <v/>
      </c>
      <c r="X206" s="47"/>
      <c r="Y206" s="42"/>
      <c r="Z206" s="48"/>
      <c r="AA206" s="44">
        <f t="shared" si="35"/>
        <v>0</v>
      </c>
      <c r="AB206" s="49" t="str">
        <f t="shared" si="36"/>
        <v/>
      </c>
      <c r="AC206" s="50" t="str">
        <f t="shared" si="37"/>
        <v/>
      </c>
    </row>
    <row r="207" spans="1:29">
      <c r="B207" s="59"/>
      <c r="C207" s="42"/>
      <c r="D207" s="42"/>
      <c r="E207" s="42"/>
      <c r="F207" s="42"/>
      <c r="G207" s="42"/>
      <c r="H207" s="44"/>
      <c r="I207" s="44"/>
      <c r="J207" s="45"/>
      <c r="K207" s="46"/>
      <c r="L207" s="47"/>
      <c r="M207" s="42"/>
      <c r="N207" s="48"/>
      <c r="O207" s="44">
        <f t="shared" si="29"/>
        <v>0</v>
      </c>
      <c r="P207" s="49" t="str">
        <f t="shared" si="30"/>
        <v/>
      </c>
      <c r="Q207" s="50" t="str">
        <f t="shared" si="31"/>
        <v/>
      </c>
      <c r="R207" s="47"/>
      <c r="S207" s="42"/>
      <c r="T207" s="48"/>
      <c r="U207" s="44">
        <f t="shared" si="32"/>
        <v>0</v>
      </c>
      <c r="V207" s="49" t="str">
        <f t="shared" si="33"/>
        <v/>
      </c>
      <c r="W207" s="50" t="str">
        <f t="shared" si="34"/>
        <v/>
      </c>
      <c r="X207" s="47"/>
      <c r="Y207" s="42"/>
      <c r="Z207" s="48"/>
      <c r="AA207" s="44">
        <f t="shared" si="35"/>
        <v>0</v>
      </c>
      <c r="AB207" s="49" t="str">
        <f t="shared" si="36"/>
        <v/>
      </c>
      <c r="AC207" s="50" t="str">
        <f t="shared" si="37"/>
        <v/>
      </c>
    </row>
    <row r="208" spans="1:29">
      <c r="B208" s="41" t="s">
        <v>396</v>
      </c>
      <c r="C208" s="42"/>
      <c r="D208" s="43"/>
      <c r="E208" s="42"/>
      <c r="F208" s="42"/>
      <c r="G208" s="42"/>
      <c r="H208" s="44"/>
      <c r="I208" s="44"/>
      <c r="J208" s="45"/>
      <c r="K208" s="46"/>
      <c r="L208" s="47"/>
      <c r="M208" s="42"/>
      <c r="N208" s="48"/>
      <c r="O208" s="44">
        <f t="shared" si="29"/>
        <v>0</v>
      </c>
      <c r="P208" s="49" t="str">
        <f t="shared" si="30"/>
        <v/>
      </c>
      <c r="Q208" s="50" t="str">
        <f t="shared" si="31"/>
        <v/>
      </c>
      <c r="R208" s="47"/>
      <c r="S208" s="42"/>
      <c r="T208" s="48"/>
      <c r="U208" s="44">
        <f t="shared" si="32"/>
        <v>0</v>
      </c>
      <c r="V208" s="49" t="str">
        <f t="shared" si="33"/>
        <v/>
      </c>
      <c r="W208" s="50" t="str">
        <f t="shared" si="34"/>
        <v/>
      </c>
      <c r="X208" s="47"/>
      <c r="Y208" s="42"/>
      <c r="Z208" s="48"/>
      <c r="AA208" s="44">
        <f t="shared" si="35"/>
        <v>0</v>
      </c>
      <c r="AB208" s="49" t="str">
        <f t="shared" si="36"/>
        <v/>
      </c>
      <c r="AC208" s="50" t="str">
        <f t="shared" si="37"/>
        <v/>
      </c>
    </row>
    <row r="209" spans="1:29">
      <c r="B209" s="52" t="str">
        <f>[1]!ArticleCode(Art_23)</f>
        <v>23</v>
      </c>
      <c r="C209" s="53" t="str">
        <f>[1]!ArticleDescription(Art_23)</f>
        <v>DORPELS, PLINTEN EN DEKSTENEN</v>
      </c>
      <c r="D209" s="42"/>
      <c r="E209" s="42"/>
      <c r="F209" s="42"/>
      <c r="G209" s="42"/>
      <c r="H209" s="44"/>
      <c r="I209" s="44"/>
      <c r="J209" s="45"/>
      <c r="K209" s="46"/>
      <c r="L209" s="47"/>
      <c r="M209" s="42"/>
      <c r="N209" s="48"/>
      <c r="O209" s="44">
        <f t="shared" si="29"/>
        <v>0</v>
      </c>
      <c r="P209" s="49" t="str">
        <f t="shared" si="30"/>
        <v/>
      </c>
      <c r="Q209" s="50" t="str">
        <f t="shared" si="31"/>
        <v/>
      </c>
      <c r="R209" s="47"/>
      <c r="S209" s="42"/>
      <c r="T209" s="48"/>
      <c r="U209" s="44">
        <f t="shared" si="32"/>
        <v>0</v>
      </c>
      <c r="V209" s="49" t="str">
        <f t="shared" si="33"/>
        <v/>
      </c>
      <c r="W209" s="50" t="str">
        <f t="shared" si="34"/>
        <v/>
      </c>
      <c r="X209" s="47"/>
      <c r="Y209" s="42"/>
      <c r="Z209" s="48"/>
      <c r="AA209" s="44">
        <f t="shared" si="35"/>
        <v>0</v>
      </c>
      <c r="AB209" s="49" t="str">
        <f t="shared" si="36"/>
        <v/>
      </c>
      <c r="AC209" s="50" t="str">
        <f t="shared" si="37"/>
        <v/>
      </c>
    </row>
    <row r="210" spans="1:29">
      <c r="B210" s="52" t="str">
        <f>[1]!ArticleCode(Art_23.00.)</f>
        <v>23.00.</v>
      </c>
      <c r="C210" s="53" t="str">
        <f>[1]!ArticleDescription(Art_23.00.)</f>
        <v>dorpels, plinten en dekstenen - algemeen</v>
      </c>
      <c r="D210" s="42"/>
      <c r="E210" s="42"/>
      <c r="F210" s="42"/>
      <c r="G210" s="42"/>
      <c r="H210" s="44"/>
      <c r="I210" s="44"/>
      <c r="J210" s="45"/>
      <c r="K210" s="46"/>
      <c r="L210" s="47"/>
      <c r="M210" s="42"/>
      <c r="N210" s="48"/>
      <c r="O210" s="44">
        <f t="shared" si="29"/>
        <v>0</v>
      </c>
      <c r="P210" s="49" t="str">
        <f t="shared" si="30"/>
        <v/>
      </c>
      <c r="Q210" s="50" t="str">
        <f t="shared" si="31"/>
        <v/>
      </c>
      <c r="R210" s="47"/>
      <c r="S210" s="42"/>
      <c r="T210" s="48"/>
      <c r="U210" s="44">
        <f t="shared" si="32"/>
        <v>0</v>
      </c>
      <c r="V210" s="49" t="str">
        <f t="shared" si="33"/>
        <v/>
      </c>
      <c r="W210" s="50" t="str">
        <f t="shared" si="34"/>
        <v/>
      </c>
      <c r="X210" s="47"/>
      <c r="Y210" s="42"/>
      <c r="Z210" s="48"/>
      <c r="AA210" s="44">
        <f t="shared" si="35"/>
        <v>0</v>
      </c>
      <c r="AB210" s="49" t="str">
        <f t="shared" si="36"/>
        <v/>
      </c>
      <c r="AC210" s="50" t="str">
        <f t="shared" si="37"/>
        <v/>
      </c>
    </row>
    <row r="211" spans="1:29">
      <c r="B211" s="52" t="str">
        <f>[1]!ArticleCode(Art_23.01.)</f>
        <v>23.01.</v>
      </c>
      <c r="C211" s="53" t="str">
        <f>[1]!ArticleDescription(Art_23.01.)</f>
        <v>algemeen - blauwe hardsteen</v>
      </c>
      <c r="D211" s="42"/>
      <c r="E211" s="42"/>
      <c r="F211" s="42"/>
      <c r="G211" s="42"/>
      <c r="H211" s="44"/>
      <c r="I211" s="44"/>
      <c r="J211" s="45"/>
      <c r="K211" s="46"/>
      <c r="L211" s="47"/>
      <c r="M211" s="42"/>
      <c r="N211" s="48"/>
      <c r="O211" s="44">
        <f t="shared" si="29"/>
        <v>0</v>
      </c>
      <c r="P211" s="49" t="str">
        <f t="shared" si="30"/>
        <v/>
      </c>
      <c r="Q211" s="50" t="str">
        <f t="shared" si="31"/>
        <v/>
      </c>
      <c r="R211" s="47"/>
      <c r="S211" s="42"/>
      <c r="T211" s="48"/>
      <c r="U211" s="44">
        <f t="shared" si="32"/>
        <v>0</v>
      </c>
      <c r="V211" s="49" t="str">
        <f t="shared" si="33"/>
        <v/>
      </c>
      <c r="W211" s="50" t="str">
        <f t="shared" si="34"/>
        <v/>
      </c>
      <c r="X211" s="47"/>
      <c r="Y211" s="42"/>
      <c r="Z211" s="48"/>
      <c r="AA211" s="44">
        <f t="shared" si="35"/>
        <v>0</v>
      </c>
      <c r="AB211" s="49" t="str">
        <f t="shared" si="36"/>
        <v/>
      </c>
      <c r="AC211" s="50" t="str">
        <f t="shared" si="37"/>
        <v/>
      </c>
    </row>
    <row r="212" spans="1:29">
      <c r="A212" s="51">
        <f>A205+1</f>
        <v>62</v>
      </c>
      <c r="B212" s="52" t="str">
        <f>[1]!ArticleCode(Art_23.11.)</f>
        <v>23.11.</v>
      </c>
      <c r="C212" s="53" t="str">
        <f>[1]!ArticleDescription(Art_23.11.)</f>
        <v>raam- en deurdorpels - blauwe hardsteen</v>
      </c>
      <c r="D212" s="42" t="str">
        <f>[1]!ArticleMeasureType(Art_23.11.)</f>
        <v>FH</v>
      </c>
      <c r="E212" s="42" t="str">
        <f>[1]!ArticleMeasureUnit(Art_23.11.)</f>
        <v>m</v>
      </c>
      <c r="F212" s="61">
        <f>[1]!ArticleQuantity(Art_23.11.)</f>
        <v>1.1000000000000001</v>
      </c>
      <c r="G212" s="42"/>
      <c r="H212" s="44"/>
      <c r="I212" s="44">
        <f>IF(RIGHT($D212,1)="-","************",ROUND(IF(NOT(ISNUMBER(G212)),IF(NOT(ISNUMBER(F212)),1,F212),G212)*H212,2))</f>
        <v>0</v>
      </c>
      <c r="J212" s="45"/>
      <c r="K212" s="46"/>
      <c r="L212" s="47"/>
      <c r="M212" s="42"/>
      <c r="N212" s="48"/>
      <c r="O212" s="44">
        <f t="shared" si="29"/>
        <v>0</v>
      </c>
      <c r="P212" s="49" t="str">
        <f t="shared" si="30"/>
        <v/>
      </c>
      <c r="Q212" s="50" t="str">
        <f t="shared" si="31"/>
        <v/>
      </c>
      <c r="R212" s="47"/>
      <c r="S212" s="42"/>
      <c r="T212" s="48"/>
      <c r="U212" s="44">
        <f t="shared" si="32"/>
        <v>0</v>
      </c>
      <c r="V212" s="49" t="str">
        <f t="shared" si="33"/>
        <v/>
      </c>
      <c r="W212" s="50" t="str">
        <f t="shared" si="34"/>
        <v/>
      </c>
      <c r="X212" s="47"/>
      <c r="Y212" s="42"/>
      <c r="Z212" s="48"/>
      <c r="AA212" s="44">
        <f t="shared" si="35"/>
        <v>0</v>
      </c>
      <c r="AB212" s="49" t="str">
        <f t="shared" si="36"/>
        <v/>
      </c>
      <c r="AC212" s="50" t="str">
        <f t="shared" si="37"/>
        <v/>
      </c>
    </row>
    <row r="213" spans="1:29">
      <c r="B213" s="54"/>
      <c r="C213" s="55"/>
      <c r="D213" s="56"/>
      <c r="E213" s="55"/>
      <c r="F213" s="55"/>
      <c r="G213" s="55"/>
      <c r="H213" s="57"/>
      <c r="I213" s="57"/>
      <c r="J213" s="58">
        <f>SUBTOTAL(9,I209:I212)</f>
        <v>0</v>
      </c>
      <c r="K213" s="46"/>
      <c r="L213" s="47"/>
      <c r="M213" s="42"/>
      <c r="N213" s="48"/>
      <c r="O213" s="44">
        <f t="shared" si="29"/>
        <v>0</v>
      </c>
      <c r="P213" s="49" t="str">
        <f t="shared" si="30"/>
        <v/>
      </c>
      <c r="Q213" s="50" t="str">
        <f t="shared" si="31"/>
        <v/>
      </c>
      <c r="R213" s="47"/>
      <c r="S213" s="42"/>
      <c r="T213" s="48"/>
      <c r="U213" s="44">
        <f t="shared" si="32"/>
        <v>0</v>
      </c>
      <c r="V213" s="49" t="str">
        <f t="shared" si="33"/>
        <v/>
      </c>
      <c r="W213" s="50" t="str">
        <f t="shared" si="34"/>
        <v/>
      </c>
      <c r="X213" s="47"/>
      <c r="Y213" s="42"/>
      <c r="Z213" s="48"/>
      <c r="AA213" s="44">
        <f t="shared" si="35"/>
        <v>0</v>
      </c>
      <c r="AB213" s="49" t="str">
        <f t="shared" si="36"/>
        <v/>
      </c>
      <c r="AC213" s="50" t="str">
        <f t="shared" si="37"/>
        <v/>
      </c>
    </row>
    <row r="214" spans="1:29">
      <c r="B214" s="59"/>
      <c r="C214" s="42"/>
      <c r="D214" s="42"/>
      <c r="E214" s="42"/>
      <c r="F214" s="42"/>
      <c r="G214" s="42"/>
      <c r="H214" s="44"/>
      <c r="I214" s="44"/>
      <c r="J214" s="45"/>
      <c r="K214" s="46"/>
      <c r="L214" s="47"/>
      <c r="M214" s="42"/>
      <c r="N214" s="48"/>
      <c r="O214" s="44">
        <f t="shared" si="29"/>
        <v>0</v>
      </c>
      <c r="P214" s="49" t="str">
        <f t="shared" si="30"/>
        <v/>
      </c>
      <c r="Q214" s="50" t="str">
        <f t="shared" si="31"/>
        <v/>
      </c>
      <c r="R214" s="47"/>
      <c r="S214" s="42"/>
      <c r="T214" s="48"/>
      <c r="U214" s="44">
        <f t="shared" si="32"/>
        <v>0</v>
      </c>
      <c r="V214" s="49" t="str">
        <f t="shared" si="33"/>
        <v/>
      </c>
      <c r="W214" s="50" t="str">
        <f t="shared" si="34"/>
        <v/>
      </c>
      <c r="X214" s="47"/>
      <c r="Y214" s="42"/>
      <c r="Z214" s="48"/>
      <c r="AA214" s="44">
        <f t="shared" si="35"/>
        <v>0</v>
      </c>
      <c r="AB214" s="49" t="str">
        <f t="shared" si="36"/>
        <v/>
      </c>
      <c r="AC214" s="50" t="str">
        <f t="shared" si="37"/>
        <v/>
      </c>
    </row>
    <row r="215" spans="1:29">
      <c r="B215" s="41" t="s">
        <v>397</v>
      </c>
      <c r="C215" s="42"/>
      <c r="D215" s="43"/>
      <c r="E215" s="42"/>
      <c r="F215" s="42"/>
      <c r="G215" s="42"/>
      <c r="H215" s="44"/>
      <c r="I215" s="44"/>
      <c r="J215" s="45"/>
      <c r="K215" s="46"/>
      <c r="L215" s="47"/>
      <c r="M215" s="42"/>
      <c r="N215" s="48"/>
      <c r="O215" s="44">
        <f t="shared" si="29"/>
        <v>0</v>
      </c>
      <c r="P215" s="49" t="str">
        <f t="shared" si="30"/>
        <v/>
      </c>
      <c r="Q215" s="50" t="str">
        <f t="shared" si="31"/>
        <v/>
      </c>
      <c r="R215" s="47"/>
      <c r="S215" s="42"/>
      <c r="T215" s="48"/>
      <c r="U215" s="44">
        <f t="shared" si="32"/>
        <v>0</v>
      </c>
      <c r="V215" s="49" t="str">
        <f t="shared" si="33"/>
        <v/>
      </c>
      <c r="W215" s="50" t="str">
        <f t="shared" si="34"/>
        <v/>
      </c>
      <c r="X215" s="47"/>
      <c r="Y215" s="42"/>
      <c r="Z215" s="48"/>
      <c r="AA215" s="44">
        <f t="shared" si="35"/>
        <v>0</v>
      </c>
      <c r="AB215" s="49" t="str">
        <f t="shared" si="36"/>
        <v/>
      </c>
      <c r="AC215" s="50" t="str">
        <f t="shared" si="37"/>
        <v/>
      </c>
    </row>
    <row r="216" spans="1:29">
      <c r="B216" s="52" t="str">
        <f>[1]!ArticleCode(Art_26.)</f>
        <v>26.</v>
      </c>
      <c r="C216" s="53" t="str">
        <f>[1]!ArticleDescription(Art_26.)</f>
        <v>STRUCTUURELEMENTEN BETON</v>
      </c>
      <c r="D216" s="42"/>
      <c r="E216" s="42"/>
      <c r="F216" s="42"/>
      <c r="G216" s="42"/>
      <c r="H216" s="44"/>
      <c r="I216" s="44"/>
      <c r="J216" s="45"/>
      <c r="K216" s="46"/>
      <c r="L216" s="47"/>
      <c r="M216" s="42"/>
      <c r="N216" s="48"/>
      <c r="O216" s="44">
        <f t="shared" si="29"/>
        <v>0</v>
      </c>
      <c r="P216" s="49" t="str">
        <f t="shared" si="30"/>
        <v/>
      </c>
      <c r="Q216" s="50" t="str">
        <f t="shared" si="31"/>
        <v/>
      </c>
      <c r="R216" s="47"/>
      <c r="S216" s="42"/>
      <c r="T216" s="48"/>
      <c r="U216" s="44">
        <f t="shared" si="32"/>
        <v>0</v>
      </c>
      <c r="V216" s="49" t="str">
        <f t="shared" si="33"/>
        <v/>
      </c>
      <c r="W216" s="50" t="str">
        <f t="shared" si="34"/>
        <v/>
      </c>
      <c r="X216" s="47"/>
      <c r="Y216" s="42"/>
      <c r="Z216" s="48"/>
      <c r="AA216" s="44">
        <f t="shared" si="35"/>
        <v>0</v>
      </c>
      <c r="AB216" s="49" t="str">
        <f t="shared" si="36"/>
        <v/>
      </c>
      <c r="AC216" s="50" t="str">
        <f t="shared" si="37"/>
        <v/>
      </c>
    </row>
    <row r="217" spans="1:29">
      <c r="B217" s="52" t="str">
        <f>[1]!ArticleCode(Art_26.00.)</f>
        <v>26.00.</v>
      </c>
      <c r="C217" s="53" t="str">
        <f>[1]!ArticleDescription(Art_26.00.)</f>
        <v>structuurelementen gewapend beton - algemeen</v>
      </c>
      <c r="D217" s="42"/>
      <c r="E217" s="42"/>
      <c r="F217" s="42"/>
      <c r="G217" s="42"/>
      <c r="H217" s="44"/>
      <c r="I217" s="44"/>
      <c r="J217" s="45"/>
      <c r="K217" s="46"/>
      <c r="L217" s="47"/>
      <c r="M217" s="42"/>
      <c r="N217" s="48"/>
      <c r="O217" s="44">
        <f t="shared" si="29"/>
        <v>0</v>
      </c>
      <c r="P217" s="49" t="str">
        <f t="shared" si="30"/>
        <v/>
      </c>
      <c r="Q217" s="50" t="str">
        <f t="shared" si="31"/>
        <v/>
      </c>
      <c r="R217" s="47"/>
      <c r="S217" s="42"/>
      <c r="T217" s="48"/>
      <c r="U217" s="44">
        <f t="shared" si="32"/>
        <v>0</v>
      </c>
      <c r="V217" s="49" t="str">
        <f t="shared" si="33"/>
        <v/>
      </c>
      <c r="W217" s="50" t="str">
        <f t="shared" si="34"/>
        <v/>
      </c>
      <c r="X217" s="47"/>
      <c r="Y217" s="42"/>
      <c r="Z217" s="48"/>
      <c r="AA217" s="44">
        <f t="shared" si="35"/>
        <v>0</v>
      </c>
      <c r="AB217" s="49" t="str">
        <f t="shared" si="36"/>
        <v/>
      </c>
      <c r="AC217" s="50" t="str">
        <f t="shared" si="37"/>
        <v/>
      </c>
    </row>
    <row r="218" spans="1:29">
      <c r="A218" s="51">
        <f>A212+1</f>
        <v>63</v>
      </c>
      <c r="B218" s="52" t="str">
        <f>[1]!ArticleCode(Art_26.01.)</f>
        <v>26.01.</v>
      </c>
      <c r="C218" s="53" t="str">
        <f>[1]!ArticleDescription(Art_26.01.)</f>
        <v>algemeen – stabiliteitsstudie</v>
      </c>
      <c r="D218" s="42" t="str">
        <f>[1]!ArticleMeasureType(Art_26.01.)</f>
        <v>PM</v>
      </c>
      <c r="E218" s="42" t="str">
        <f>[1]!ArticleMeasureUnit(Art_26.01.)</f>
        <v/>
      </c>
      <c r="F218" s="60" t="str">
        <f>[1]!ArticleQuantity(Art_26.01.)</f>
        <v/>
      </c>
      <c r="G218" s="42"/>
      <c r="H218" s="44"/>
      <c r="I218" s="44">
        <f>IF(RIGHT($D218,1)="-","************",ROUND(IF(NOT(ISNUMBER(G218)),IF(NOT(ISNUMBER(F218)),1,F218),G218)*H218,2))</f>
        <v>0</v>
      </c>
      <c r="J218" s="45"/>
      <c r="K218" s="46"/>
      <c r="L218" s="47"/>
      <c r="M218" s="42"/>
      <c r="N218" s="48"/>
      <c r="O218" s="44">
        <f t="shared" si="29"/>
        <v>0</v>
      </c>
      <c r="P218" s="49" t="str">
        <f t="shared" si="30"/>
        <v/>
      </c>
      <c r="Q218" s="50" t="str">
        <f t="shared" si="31"/>
        <v/>
      </c>
      <c r="R218" s="47"/>
      <c r="S218" s="42"/>
      <c r="T218" s="48"/>
      <c r="U218" s="44">
        <f t="shared" si="32"/>
        <v>0</v>
      </c>
      <c r="V218" s="49" t="str">
        <f t="shared" si="33"/>
        <v/>
      </c>
      <c r="W218" s="50" t="str">
        <f t="shared" si="34"/>
        <v/>
      </c>
      <c r="X218" s="47"/>
      <c r="Y218" s="42"/>
      <c r="Z218" s="48"/>
      <c r="AA218" s="44">
        <f t="shared" si="35"/>
        <v>0</v>
      </c>
      <c r="AB218" s="49" t="str">
        <f t="shared" si="36"/>
        <v/>
      </c>
      <c r="AC218" s="50" t="str">
        <f t="shared" si="37"/>
        <v/>
      </c>
    </row>
    <row r="219" spans="1:29">
      <c r="B219" s="52" t="str">
        <f>[1]!ArticleCode(Art_26.10.)</f>
        <v>26.10.</v>
      </c>
      <c r="C219" s="53" t="str">
        <f>[1]!ArticleDescription(Art_26.10.)</f>
        <v>materialen - algemeen</v>
      </c>
      <c r="D219" s="42"/>
      <c r="E219" s="42"/>
      <c r="F219" s="42"/>
      <c r="G219" s="42"/>
      <c r="H219" s="44"/>
      <c r="I219" s="44"/>
      <c r="J219" s="45"/>
      <c r="K219" s="46"/>
      <c r="L219" s="47"/>
      <c r="M219" s="42"/>
      <c r="N219" s="48"/>
      <c r="O219" s="44">
        <f t="shared" si="29"/>
        <v>0</v>
      </c>
      <c r="P219" s="49" t="str">
        <f t="shared" si="30"/>
        <v/>
      </c>
      <c r="Q219" s="50" t="str">
        <f t="shared" si="31"/>
        <v/>
      </c>
      <c r="R219" s="47"/>
      <c r="S219" s="42"/>
      <c r="T219" s="48"/>
      <c r="U219" s="44">
        <f t="shared" si="32"/>
        <v>0</v>
      </c>
      <c r="V219" s="49" t="str">
        <f t="shared" si="33"/>
        <v/>
      </c>
      <c r="W219" s="50" t="str">
        <f t="shared" si="34"/>
        <v/>
      </c>
      <c r="X219" s="47"/>
      <c r="Y219" s="42"/>
      <c r="Z219" s="48"/>
      <c r="AA219" s="44">
        <f t="shared" si="35"/>
        <v>0</v>
      </c>
      <c r="AB219" s="49" t="str">
        <f t="shared" si="36"/>
        <v/>
      </c>
      <c r="AC219" s="50" t="str">
        <f t="shared" si="37"/>
        <v/>
      </c>
    </row>
    <row r="220" spans="1:29">
      <c r="B220" s="52" t="str">
        <f>[1]!ArticleCode(Art_26.11.)</f>
        <v>26.11.</v>
      </c>
      <c r="C220" s="53" t="str">
        <f>[1]!ArticleDescription(Art_26.11.)</f>
        <v>materialen – wapening</v>
      </c>
      <c r="D220" s="42"/>
      <c r="E220" s="42"/>
      <c r="F220" s="42"/>
      <c r="G220" s="42"/>
      <c r="H220" s="44"/>
      <c r="I220" s="44"/>
      <c r="J220" s="45"/>
      <c r="K220" s="46"/>
      <c r="L220" s="47"/>
      <c r="M220" s="42"/>
      <c r="N220" s="48"/>
      <c r="O220" s="44">
        <f t="shared" si="29"/>
        <v>0</v>
      </c>
      <c r="P220" s="49" t="str">
        <f t="shared" si="30"/>
        <v/>
      </c>
      <c r="Q220" s="50" t="str">
        <f t="shared" si="31"/>
        <v/>
      </c>
      <c r="R220" s="47"/>
      <c r="S220" s="42"/>
      <c r="T220" s="48"/>
      <c r="U220" s="44">
        <f t="shared" si="32"/>
        <v>0</v>
      </c>
      <c r="V220" s="49" t="str">
        <f t="shared" si="33"/>
        <v/>
      </c>
      <c r="W220" s="50" t="str">
        <f t="shared" si="34"/>
        <v/>
      </c>
      <c r="X220" s="47"/>
      <c r="Y220" s="42"/>
      <c r="Z220" s="48"/>
      <c r="AA220" s="44">
        <f t="shared" si="35"/>
        <v>0</v>
      </c>
      <c r="AB220" s="49" t="str">
        <f t="shared" si="36"/>
        <v/>
      </c>
      <c r="AC220" s="50" t="str">
        <f t="shared" si="37"/>
        <v/>
      </c>
    </row>
    <row r="221" spans="1:29">
      <c r="B221" s="52" t="str">
        <f>[1]!ArticleCode(Art_26.11.10.)</f>
        <v>26.11.10.</v>
      </c>
      <c r="C221" s="53" t="str">
        <f>[1]!ArticleDescription(Art_26.11.10.)</f>
        <v>materialen – wapening/staven en netten</v>
      </c>
      <c r="D221" s="42"/>
      <c r="E221" s="42"/>
      <c r="F221" s="42"/>
      <c r="G221" s="42"/>
      <c r="H221" s="44"/>
      <c r="I221" s="44"/>
      <c r="J221" s="45"/>
      <c r="K221" s="46"/>
      <c r="L221" s="47"/>
      <c r="M221" s="42"/>
      <c r="N221" s="48"/>
      <c r="O221" s="44">
        <f t="shared" si="29"/>
        <v>0</v>
      </c>
      <c r="P221" s="49" t="str">
        <f t="shared" si="30"/>
        <v/>
      </c>
      <c r="Q221" s="50" t="str">
        <f t="shared" si="31"/>
        <v/>
      </c>
      <c r="R221" s="47"/>
      <c r="S221" s="42"/>
      <c r="T221" s="48"/>
      <c r="U221" s="44">
        <f t="shared" si="32"/>
        <v>0</v>
      </c>
      <c r="V221" s="49" t="str">
        <f t="shared" si="33"/>
        <v/>
      </c>
      <c r="W221" s="50" t="str">
        <f t="shared" si="34"/>
        <v/>
      </c>
      <c r="X221" s="47"/>
      <c r="Y221" s="42"/>
      <c r="Z221" s="48"/>
      <c r="AA221" s="44">
        <f t="shared" si="35"/>
        <v>0</v>
      </c>
      <c r="AB221" s="49" t="str">
        <f t="shared" si="36"/>
        <v/>
      </c>
      <c r="AC221" s="50" t="str">
        <f t="shared" si="37"/>
        <v/>
      </c>
    </row>
    <row r="222" spans="1:29">
      <c r="A222" s="51">
        <f>A218+1</f>
        <v>64</v>
      </c>
      <c r="B222" s="52" t="str">
        <f>[1]!ArticleCode(Art_26.11.11.)</f>
        <v>26.11.11.</v>
      </c>
      <c r="C222" s="53" t="str">
        <f>[1]!ArticleDescription(Art_26.11.11.)</f>
        <v>materialen – wapening/staven en netten - staven</v>
      </c>
      <c r="D222" s="42" t="str">
        <f>[1]!ArticleMeasureType(Art_26.11.11.)</f>
        <v>FH</v>
      </c>
      <c r="E222" s="42" t="str">
        <f>[1]!ArticleMeasureUnit(Art_26.11.11.)</f>
        <v>kg</v>
      </c>
      <c r="F222" s="122">
        <f>[1]!ArticleQuantity(Art_26.11.11.)</f>
        <v>837.52</v>
      </c>
      <c r="G222" s="42"/>
      <c r="H222" s="44"/>
      <c r="I222" s="44">
        <f>IF(RIGHT($D222,1)="-","************",ROUND(IF(NOT(ISNUMBER(G222)),IF(NOT(ISNUMBER(F222)),1,F222),G222)*H222,2))</f>
        <v>0</v>
      </c>
      <c r="J222" s="45"/>
      <c r="K222" s="46"/>
      <c r="L222" s="47"/>
      <c r="M222" s="42"/>
      <c r="N222" s="48"/>
      <c r="O222" s="44">
        <f t="shared" si="29"/>
        <v>0</v>
      </c>
      <c r="P222" s="49" t="str">
        <f t="shared" si="30"/>
        <v/>
      </c>
      <c r="Q222" s="50" t="str">
        <f t="shared" si="31"/>
        <v/>
      </c>
      <c r="R222" s="47"/>
      <c r="S222" s="42"/>
      <c r="T222" s="48"/>
      <c r="U222" s="44">
        <f t="shared" si="32"/>
        <v>0</v>
      </c>
      <c r="V222" s="49" t="str">
        <f t="shared" si="33"/>
        <v/>
      </c>
      <c r="W222" s="50" t="str">
        <f t="shared" si="34"/>
        <v/>
      </c>
      <c r="X222" s="47"/>
      <c r="Y222" s="42"/>
      <c r="Z222" s="48"/>
      <c r="AA222" s="44">
        <f t="shared" si="35"/>
        <v>0</v>
      </c>
      <c r="AB222" s="49" t="str">
        <f t="shared" si="36"/>
        <v/>
      </c>
      <c r="AC222" s="50" t="str">
        <f t="shared" si="37"/>
        <v/>
      </c>
    </row>
    <row r="223" spans="1:29">
      <c r="A223" s="51">
        <f>A222+1</f>
        <v>65</v>
      </c>
      <c r="B223" s="52" t="str">
        <f>[1]!ArticleCode(Art_26.11.12.)</f>
        <v>26.11.12.</v>
      </c>
      <c r="C223" s="53" t="str">
        <f>[1]!ArticleDescription(Art_26.11.12.)</f>
        <v>materialen – wapening/staven en netten - netten</v>
      </c>
      <c r="D223" s="42" t="str">
        <f>[1]!ArticleMeasureType(Art_26.11.12.)</f>
        <v>FH</v>
      </c>
      <c r="E223" s="42" t="str">
        <f>[1]!ArticleMeasureUnit(Art_26.11.12.)</f>
        <v>kg</v>
      </c>
      <c r="F223" s="122">
        <f>[1]!ArticleQuantity(Art_26.11.12.)</f>
        <v>2240.5030000000002</v>
      </c>
      <c r="G223" s="42"/>
      <c r="H223" s="44"/>
      <c r="I223" s="44">
        <f>IF(RIGHT($D223,1)="-","************",ROUND(IF(NOT(ISNUMBER(G223)),IF(NOT(ISNUMBER(F223)),1,F223),G223)*H223,2))</f>
        <v>0</v>
      </c>
      <c r="J223" s="45"/>
      <c r="K223" s="46"/>
      <c r="L223" s="47"/>
      <c r="M223" s="42"/>
      <c r="N223" s="48"/>
      <c r="O223" s="44">
        <f t="shared" si="29"/>
        <v>0</v>
      </c>
      <c r="P223" s="49" t="str">
        <f t="shared" si="30"/>
        <v/>
      </c>
      <c r="Q223" s="50" t="str">
        <f t="shared" si="31"/>
        <v/>
      </c>
      <c r="R223" s="47"/>
      <c r="S223" s="42"/>
      <c r="T223" s="48"/>
      <c r="U223" s="44">
        <f t="shared" si="32"/>
        <v>0</v>
      </c>
      <c r="V223" s="49" t="str">
        <f t="shared" si="33"/>
        <v/>
      </c>
      <c r="W223" s="50" t="str">
        <f t="shared" si="34"/>
        <v/>
      </c>
      <c r="X223" s="47"/>
      <c r="Y223" s="42"/>
      <c r="Z223" s="48"/>
      <c r="AA223" s="44">
        <f t="shared" si="35"/>
        <v>0</v>
      </c>
      <c r="AB223" s="49" t="str">
        <f t="shared" si="36"/>
        <v/>
      </c>
      <c r="AC223" s="50" t="str">
        <f t="shared" si="37"/>
        <v/>
      </c>
    </row>
    <row r="224" spans="1:29">
      <c r="B224" s="52" t="str">
        <f>[1]!ArticleCode(Art_26.11.20.)</f>
        <v>26.11.20.</v>
      </c>
      <c r="C224" s="53" t="str">
        <f>[1]!ArticleDescription(Art_26.11.20.)</f>
        <v>materialen – wapening/vezels</v>
      </c>
      <c r="D224" s="42"/>
      <c r="E224" s="42"/>
      <c r="F224" s="42"/>
      <c r="G224" s="42"/>
      <c r="H224" s="44"/>
      <c r="I224" s="44"/>
      <c r="J224" s="45"/>
      <c r="K224" s="46"/>
      <c r="L224" s="47"/>
      <c r="M224" s="42"/>
      <c r="N224" s="48"/>
      <c r="O224" s="44">
        <f t="shared" si="29"/>
        <v>0</v>
      </c>
      <c r="P224" s="49" t="str">
        <f t="shared" si="30"/>
        <v/>
      </c>
      <c r="Q224" s="50" t="str">
        <f t="shared" si="31"/>
        <v/>
      </c>
      <c r="R224" s="47"/>
      <c r="S224" s="42"/>
      <c r="T224" s="48"/>
      <c r="U224" s="44">
        <f t="shared" si="32"/>
        <v>0</v>
      </c>
      <c r="V224" s="49" t="str">
        <f t="shared" si="33"/>
        <v/>
      </c>
      <c r="W224" s="50" t="str">
        <f t="shared" si="34"/>
        <v/>
      </c>
      <c r="X224" s="47"/>
      <c r="Y224" s="42"/>
      <c r="Z224" s="48"/>
      <c r="AA224" s="44">
        <f t="shared" si="35"/>
        <v>0</v>
      </c>
      <c r="AB224" s="49" t="str">
        <f t="shared" si="36"/>
        <v/>
      </c>
      <c r="AC224" s="50" t="str">
        <f t="shared" si="37"/>
        <v/>
      </c>
    </row>
    <row r="225" spans="1:29">
      <c r="A225" s="51">
        <f>A223+1</f>
        <v>66</v>
      </c>
      <c r="B225" s="52" t="str">
        <f>[1]!ArticleCode(Art_26.11.21.)</f>
        <v>26.11.21.</v>
      </c>
      <c r="C225" s="53" t="str">
        <f>[1]!ArticleDescription(Art_26.11.21.)</f>
        <v>materialen – wapening/vezels – staalvezels</v>
      </c>
      <c r="D225" s="42" t="str">
        <f>[1]!ArticleMeasureType(Art_26.11.21.)</f>
        <v>EP</v>
      </c>
      <c r="E225" s="42" t="str">
        <f>[1]!ArticleMeasureUnit(Art_26.11.21.)</f>
        <v>kg</v>
      </c>
      <c r="F225" s="122">
        <f>[1]!ArticleQuantity(Art_26.11.21.)</f>
        <v>0</v>
      </c>
      <c r="G225" s="42"/>
      <c r="H225" s="44"/>
      <c r="I225" s="44">
        <f>IF(RIGHT($D225,1)="-","************",ROUND(IF(NOT(ISNUMBER(G225)),IF(NOT(ISNUMBER(F225)),1,F225),G225)*H225,2))</f>
        <v>0</v>
      </c>
      <c r="J225" s="45"/>
      <c r="K225" s="46"/>
      <c r="L225" s="47"/>
      <c r="M225" s="42"/>
      <c r="N225" s="48"/>
      <c r="O225" s="44">
        <f t="shared" si="29"/>
        <v>0</v>
      </c>
      <c r="P225" s="49" t="str">
        <f t="shared" si="30"/>
        <v/>
      </c>
      <c r="Q225" s="50" t="str">
        <f t="shared" si="31"/>
        <v/>
      </c>
      <c r="R225" s="47"/>
      <c r="S225" s="42"/>
      <c r="T225" s="48"/>
      <c r="U225" s="44">
        <f t="shared" si="32"/>
        <v>0</v>
      </c>
      <c r="V225" s="49" t="str">
        <f t="shared" si="33"/>
        <v/>
      </c>
      <c r="W225" s="50" t="str">
        <f t="shared" si="34"/>
        <v/>
      </c>
      <c r="X225" s="47"/>
      <c r="Y225" s="42"/>
      <c r="Z225" s="48"/>
      <c r="AA225" s="44">
        <f t="shared" si="35"/>
        <v>0</v>
      </c>
      <c r="AB225" s="49" t="str">
        <f t="shared" si="36"/>
        <v/>
      </c>
      <c r="AC225" s="50" t="str">
        <f t="shared" si="37"/>
        <v/>
      </c>
    </row>
    <row r="226" spans="1:29">
      <c r="B226" s="52" t="str">
        <f>[1]!ArticleCode(Art_26.12.)</f>
        <v>26.12.</v>
      </c>
      <c r="C226" s="53" t="str">
        <f>[1]!ArticleDescription(Art_26.12.)</f>
        <v>materialen - beton</v>
      </c>
      <c r="D226" s="42"/>
      <c r="E226" s="42"/>
      <c r="F226" s="42"/>
      <c r="G226" s="42"/>
      <c r="H226" s="44"/>
      <c r="I226" s="44"/>
      <c r="J226" s="45"/>
      <c r="K226" s="46"/>
      <c r="L226" s="47"/>
      <c r="M226" s="42"/>
      <c r="N226" s="48"/>
      <c r="O226" s="44">
        <f t="shared" si="29"/>
        <v>0</v>
      </c>
      <c r="P226" s="49" t="str">
        <f t="shared" si="30"/>
        <v/>
      </c>
      <c r="Q226" s="50" t="str">
        <f t="shared" si="31"/>
        <v/>
      </c>
      <c r="R226" s="47"/>
      <c r="S226" s="42"/>
      <c r="T226" s="48"/>
      <c r="U226" s="44">
        <f t="shared" si="32"/>
        <v>0</v>
      </c>
      <c r="V226" s="49" t="str">
        <f t="shared" si="33"/>
        <v/>
      </c>
      <c r="W226" s="50" t="str">
        <f t="shared" si="34"/>
        <v/>
      </c>
      <c r="X226" s="47"/>
      <c r="Y226" s="42"/>
      <c r="Z226" s="48"/>
      <c r="AA226" s="44">
        <f t="shared" si="35"/>
        <v>0</v>
      </c>
      <c r="AB226" s="49" t="str">
        <f t="shared" si="36"/>
        <v/>
      </c>
      <c r="AC226" s="50" t="str">
        <f t="shared" si="37"/>
        <v/>
      </c>
    </row>
    <row r="227" spans="1:29">
      <c r="B227" s="52" t="str">
        <f>[1]!ArticleCode(Art_26.12.10.)</f>
        <v>26.12.10.</v>
      </c>
      <c r="C227" s="53" t="str">
        <f>[1]!ArticleDescription(Art_26.12.10.)</f>
        <v>materialen – beton/stortklaar beton</v>
      </c>
      <c r="D227" s="42"/>
      <c r="E227" s="42"/>
      <c r="F227" s="42"/>
      <c r="G227" s="42"/>
      <c r="H227" s="44"/>
      <c r="I227" s="44"/>
      <c r="J227" s="45"/>
      <c r="K227" s="46"/>
      <c r="L227" s="47"/>
      <c r="M227" s="42"/>
      <c r="N227" s="48"/>
      <c r="O227" s="44">
        <f t="shared" si="29"/>
        <v>0</v>
      </c>
      <c r="P227" s="49" t="str">
        <f t="shared" si="30"/>
        <v/>
      </c>
      <c r="Q227" s="50" t="str">
        <f t="shared" si="31"/>
        <v/>
      </c>
      <c r="R227" s="47"/>
      <c r="S227" s="42"/>
      <c r="T227" s="48"/>
      <c r="U227" s="44">
        <f t="shared" si="32"/>
        <v>0</v>
      </c>
      <c r="V227" s="49" t="str">
        <f t="shared" si="33"/>
        <v/>
      </c>
      <c r="W227" s="50" t="str">
        <f t="shared" si="34"/>
        <v/>
      </c>
      <c r="X227" s="47"/>
      <c r="Y227" s="42"/>
      <c r="Z227" s="48"/>
      <c r="AA227" s="44">
        <f t="shared" si="35"/>
        <v>0</v>
      </c>
      <c r="AB227" s="49" t="str">
        <f t="shared" si="36"/>
        <v/>
      </c>
      <c r="AC227" s="50" t="str">
        <f t="shared" si="37"/>
        <v/>
      </c>
    </row>
    <row r="228" spans="1:29">
      <c r="A228" s="51">
        <f>A225+1</f>
        <v>67</v>
      </c>
      <c r="B228" s="52" t="str">
        <f>[1]!ArticleCode(Art_26.12.11.)</f>
        <v>26.12.11.</v>
      </c>
      <c r="C228" s="53" t="str">
        <f>[1]!ArticleDescription(Art_26.12.11.)</f>
        <v>materialen – beton/stortklaar beton - met staaf- en netwapening</v>
      </c>
      <c r="D228" s="42" t="str">
        <f>[1]!ArticleMeasureType(Art_26.12.11.)</f>
        <v>PM</v>
      </c>
      <c r="E228" s="42" t="str">
        <f>[1]!ArticleMeasureUnit(Art_26.12.11.)</f>
        <v/>
      </c>
      <c r="F228" s="60" t="str">
        <f>[1]!ArticleQuantity(Art_26.12.11.)</f>
        <v/>
      </c>
      <c r="G228" s="42"/>
      <c r="H228" s="44"/>
      <c r="I228" s="44">
        <f>IF(RIGHT($D228,1)="-","************",ROUND(IF(NOT(ISNUMBER(G228)),IF(NOT(ISNUMBER(F228)),1,F228),G228)*H228,2))</f>
        <v>0</v>
      </c>
      <c r="J228" s="45"/>
      <c r="K228" s="46"/>
      <c r="L228" s="47"/>
      <c r="M228" s="42"/>
      <c r="N228" s="48"/>
      <c r="O228" s="44">
        <f t="shared" si="29"/>
        <v>0</v>
      </c>
      <c r="P228" s="49" t="str">
        <f t="shared" si="30"/>
        <v/>
      </c>
      <c r="Q228" s="50" t="str">
        <f t="shared" si="31"/>
        <v/>
      </c>
      <c r="R228" s="47"/>
      <c r="S228" s="42"/>
      <c r="T228" s="48"/>
      <c r="U228" s="44">
        <f t="shared" si="32"/>
        <v>0</v>
      </c>
      <c r="V228" s="49" t="str">
        <f t="shared" si="33"/>
        <v/>
      </c>
      <c r="W228" s="50" t="str">
        <f t="shared" si="34"/>
        <v/>
      </c>
      <c r="X228" s="47"/>
      <c r="Y228" s="42"/>
      <c r="Z228" s="48"/>
      <c r="AA228" s="44">
        <f t="shared" si="35"/>
        <v>0</v>
      </c>
      <c r="AB228" s="49" t="str">
        <f t="shared" si="36"/>
        <v/>
      </c>
      <c r="AC228" s="50" t="str">
        <f t="shared" si="37"/>
        <v/>
      </c>
    </row>
    <row r="229" spans="1:29">
      <c r="A229" s="51">
        <f>A228+1</f>
        <v>68</v>
      </c>
      <c r="B229" s="52" t="str">
        <f>[1]!ArticleCode(Art_26.12.12.)</f>
        <v>26.12.12.</v>
      </c>
      <c r="C229" s="53" t="str">
        <f>[1]!ArticleDescription(Art_26.12.12.)</f>
        <v>materialen – beton/stortklaar beton - met vezelwapening</v>
      </c>
      <c r="D229" s="42" t="str">
        <f>[1]!ArticleMeasureType(Art_26.12.12.)</f>
        <v>PM</v>
      </c>
      <c r="E229" s="42" t="str">
        <f>[1]!ArticleMeasureUnit(Art_26.12.12.)</f>
        <v/>
      </c>
      <c r="F229" s="60" t="str">
        <f>[1]!ArticleQuantity(Art_26.12.12.)</f>
        <v/>
      </c>
      <c r="G229" s="42"/>
      <c r="H229" s="44"/>
      <c r="I229" s="44">
        <f>IF(RIGHT($D229,1)="-","************",ROUND(IF(NOT(ISNUMBER(G229)),IF(NOT(ISNUMBER(F229)),1,F229),G229)*H229,2))</f>
        <v>0</v>
      </c>
      <c r="J229" s="45"/>
      <c r="K229" s="46"/>
      <c r="L229" s="47"/>
      <c r="M229" s="42"/>
      <c r="N229" s="48"/>
      <c r="O229" s="44">
        <f t="shared" si="29"/>
        <v>0</v>
      </c>
      <c r="P229" s="49" t="str">
        <f t="shared" si="30"/>
        <v/>
      </c>
      <c r="Q229" s="50" t="str">
        <f t="shared" si="31"/>
        <v/>
      </c>
      <c r="R229" s="47"/>
      <c r="S229" s="42"/>
      <c r="T229" s="48"/>
      <c r="U229" s="44">
        <f t="shared" si="32"/>
        <v>0</v>
      </c>
      <c r="V229" s="49" t="str">
        <f t="shared" si="33"/>
        <v/>
      </c>
      <c r="W229" s="50" t="str">
        <f t="shared" si="34"/>
        <v/>
      </c>
      <c r="X229" s="47"/>
      <c r="Y229" s="42"/>
      <c r="Z229" s="48"/>
      <c r="AA229" s="44">
        <f t="shared" si="35"/>
        <v>0</v>
      </c>
      <c r="AB229" s="49" t="str">
        <f t="shared" si="36"/>
        <v/>
      </c>
      <c r="AC229" s="50" t="str">
        <f t="shared" si="37"/>
        <v/>
      </c>
    </row>
    <row r="230" spans="1:29">
      <c r="B230" s="52" t="str">
        <f>[1]!ArticleCode(Art_26.20.)</f>
        <v>26.20.</v>
      </c>
      <c r="C230" s="53" t="str">
        <f>[1]!ArticleDescription(Art_26.20.)</f>
        <v>ter plaatse gestorte elementen – algemeen</v>
      </c>
      <c r="D230" s="42"/>
      <c r="E230" s="42"/>
      <c r="F230" s="42"/>
      <c r="G230" s="42"/>
      <c r="H230" s="44"/>
      <c r="I230" s="44"/>
      <c r="J230" s="45"/>
      <c r="K230" s="46"/>
      <c r="L230" s="47"/>
      <c r="M230" s="42"/>
      <c r="N230" s="48"/>
      <c r="O230" s="44">
        <f t="shared" si="29"/>
        <v>0</v>
      </c>
      <c r="P230" s="49" t="str">
        <f t="shared" si="30"/>
        <v/>
      </c>
      <c r="Q230" s="50" t="str">
        <f t="shared" si="31"/>
        <v/>
      </c>
      <c r="R230" s="47"/>
      <c r="S230" s="42"/>
      <c r="T230" s="48"/>
      <c r="U230" s="44">
        <f t="shared" si="32"/>
        <v>0</v>
      </c>
      <c r="V230" s="49" t="str">
        <f t="shared" si="33"/>
        <v/>
      </c>
      <c r="W230" s="50" t="str">
        <f t="shared" si="34"/>
        <v/>
      </c>
      <c r="X230" s="47"/>
      <c r="Y230" s="42"/>
      <c r="Z230" s="48"/>
      <c r="AA230" s="44">
        <f t="shared" si="35"/>
        <v>0</v>
      </c>
      <c r="AB230" s="49" t="str">
        <f t="shared" si="36"/>
        <v/>
      </c>
      <c r="AC230" s="50" t="str">
        <f t="shared" si="37"/>
        <v/>
      </c>
    </row>
    <row r="231" spans="1:29">
      <c r="A231" s="51">
        <f>A229+1</f>
        <v>69</v>
      </c>
      <c r="B231" s="52" t="str">
        <f>[1]!ArticleCode(Art_26.23.)</f>
        <v>26.23.</v>
      </c>
      <c r="C231" s="53" t="str">
        <f>[1]!ArticleDescription(Art_26.23.)</f>
        <v>ter plaatse gestorte elementen – balken/sloffen</v>
      </c>
      <c r="D231" s="42" t="str">
        <f>[1]!ArticleMeasureType(Art_26.23.)</f>
        <v>FH</v>
      </c>
      <c r="E231" s="42" t="str">
        <f>[1]!ArticleMeasureUnit(Art_26.23.)</f>
        <v>m3</v>
      </c>
      <c r="F231" s="122">
        <f>[1]!ArticleQuantity(Art_26.23.)</f>
        <v>1.2E-2</v>
      </c>
      <c r="G231" s="42"/>
      <c r="H231" s="44"/>
      <c r="I231" s="44">
        <f>IF(RIGHT($D231,1)="-","************",ROUND(IF(NOT(ISNUMBER(G231)),IF(NOT(ISNUMBER(F231)),1,F231),G231)*H231,2))</f>
        <v>0</v>
      </c>
      <c r="J231" s="45"/>
      <c r="K231" s="46"/>
      <c r="L231" s="47"/>
      <c r="M231" s="42"/>
      <c r="N231" s="48"/>
      <c r="O231" s="44">
        <f t="shared" si="29"/>
        <v>0</v>
      </c>
      <c r="P231" s="49" t="str">
        <f t="shared" si="30"/>
        <v/>
      </c>
      <c r="Q231" s="50" t="str">
        <f t="shared" si="31"/>
        <v/>
      </c>
      <c r="R231" s="47"/>
      <c r="S231" s="42"/>
      <c r="T231" s="48"/>
      <c r="U231" s="44">
        <f t="shared" si="32"/>
        <v>0</v>
      </c>
      <c r="V231" s="49" t="str">
        <f t="shared" si="33"/>
        <v/>
      </c>
      <c r="W231" s="50" t="str">
        <f t="shared" si="34"/>
        <v/>
      </c>
      <c r="X231" s="47"/>
      <c r="Y231" s="42"/>
      <c r="Z231" s="48"/>
      <c r="AA231" s="44">
        <f t="shared" si="35"/>
        <v>0</v>
      </c>
      <c r="AB231" s="49" t="str">
        <f t="shared" si="36"/>
        <v/>
      </c>
      <c r="AC231" s="50" t="str">
        <f t="shared" si="37"/>
        <v/>
      </c>
    </row>
    <row r="232" spans="1:29">
      <c r="B232" s="52" t="str">
        <f>[1]!ArticleCode(Art_26.30.)</f>
        <v>26.30.</v>
      </c>
      <c r="C232" s="53" t="str">
        <f>[1]!ArticleDescription(Art_26.30.)</f>
        <v>prefab elementen – algemeen</v>
      </c>
      <c r="D232" s="42"/>
      <c r="E232" s="42"/>
      <c r="F232" s="42"/>
      <c r="G232" s="42"/>
      <c r="H232" s="44"/>
      <c r="I232" s="44"/>
      <c r="J232" s="45"/>
      <c r="K232" s="46"/>
      <c r="L232" s="47"/>
      <c r="M232" s="42"/>
      <c r="N232" s="48"/>
      <c r="O232" s="44">
        <f t="shared" si="29"/>
        <v>0</v>
      </c>
      <c r="P232" s="49" t="str">
        <f t="shared" si="30"/>
        <v/>
      </c>
      <c r="Q232" s="50" t="str">
        <f t="shared" si="31"/>
        <v/>
      </c>
      <c r="R232" s="47"/>
      <c r="S232" s="42"/>
      <c r="T232" s="48"/>
      <c r="U232" s="44">
        <f t="shared" si="32"/>
        <v>0</v>
      </c>
      <c r="V232" s="49" t="str">
        <f t="shared" si="33"/>
        <v/>
      </c>
      <c r="W232" s="50" t="str">
        <f t="shared" si="34"/>
        <v/>
      </c>
      <c r="X232" s="47"/>
      <c r="Y232" s="42"/>
      <c r="Z232" s="48"/>
      <c r="AA232" s="44">
        <f t="shared" si="35"/>
        <v>0</v>
      </c>
      <c r="AB232" s="49" t="str">
        <f t="shared" si="36"/>
        <v/>
      </c>
      <c r="AC232" s="50" t="str">
        <f t="shared" si="37"/>
        <v/>
      </c>
    </row>
    <row r="233" spans="1:29">
      <c r="A233" s="51">
        <f>A231+1</f>
        <v>70</v>
      </c>
      <c r="B233" s="52" t="str">
        <f>[1]!ArticleCode(Art_26.34.)</f>
        <v>26.34.</v>
      </c>
      <c r="C233" s="53" t="str">
        <f>[1]!ArticleDescription(Art_26.34.)</f>
        <v>prefab elementen – deur- en raamlateien</v>
      </c>
      <c r="D233" s="42" t="str">
        <f>[1]!ArticleMeasureType(Art_26.34.)</f>
        <v>PM</v>
      </c>
      <c r="E233" s="42" t="str">
        <f>[1]!ArticleMeasureUnit(Art_26.34.)</f>
        <v/>
      </c>
      <c r="F233" s="60" t="str">
        <f>[1]!ArticleQuantity(Art_26.34.)</f>
        <v/>
      </c>
      <c r="G233" s="42"/>
      <c r="H233" s="44"/>
      <c r="I233" s="44">
        <f>IF(RIGHT($D233,1)="-","************",ROUND(IF(NOT(ISNUMBER(G233)),IF(NOT(ISNUMBER(F233)),1,F233),G233)*H233,2))</f>
        <v>0</v>
      </c>
      <c r="J233" s="45"/>
      <c r="K233" s="46"/>
      <c r="L233" s="47"/>
      <c r="M233" s="42"/>
      <c r="N233" s="48"/>
      <c r="O233" s="44">
        <f t="shared" si="29"/>
        <v>0</v>
      </c>
      <c r="P233" s="49" t="str">
        <f t="shared" si="30"/>
        <v/>
      </c>
      <c r="Q233" s="50" t="str">
        <f t="shared" si="31"/>
        <v/>
      </c>
      <c r="R233" s="47"/>
      <c r="S233" s="42"/>
      <c r="T233" s="48"/>
      <c r="U233" s="44">
        <f t="shared" si="32"/>
        <v>0</v>
      </c>
      <c r="V233" s="49" t="str">
        <f t="shared" si="33"/>
        <v/>
      </c>
      <c r="W233" s="50" t="str">
        <f t="shared" si="34"/>
        <v/>
      </c>
      <c r="X233" s="47"/>
      <c r="Y233" s="42"/>
      <c r="Z233" s="48"/>
      <c r="AA233" s="44">
        <f t="shared" si="35"/>
        <v>0</v>
      </c>
      <c r="AB233" s="49" t="str">
        <f t="shared" si="36"/>
        <v/>
      </c>
      <c r="AC233" s="50" t="str">
        <f t="shared" si="37"/>
        <v/>
      </c>
    </row>
    <row r="234" spans="1:29">
      <c r="B234" s="52" t="str">
        <f>[1]!ArticleCode(Art_26.36.)</f>
        <v>26.36.</v>
      </c>
      <c r="C234" s="53" t="str">
        <f>[1]!ArticleDescription(Art_26.36.)</f>
        <v>prefab elementen – draagvloeren</v>
      </c>
      <c r="D234" s="42"/>
      <c r="E234" s="42"/>
      <c r="F234" s="42"/>
      <c r="G234" s="42"/>
      <c r="H234" s="44"/>
      <c r="I234" s="44"/>
      <c r="J234" s="45"/>
      <c r="K234" s="46"/>
      <c r="L234" s="47"/>
      <c r="M234" s="42"/>
      <c r="N234" s="48"/>
      <c r="O234" s="44">
        <f t="shared" si="29"/>
        <v>0</v>
      </c>
      <c r="P234" s="49" t="str">
        <f t="shared" si="30"/>
        <v/>
      </c>
      <c r="Q234" s="50" t="str">
        <f t="shared" si="31"/>
        <v/>
      </c>
      <c r="R234" s="47"/>
      <c r="S234" s="42"/>
      <c r="T234" s="48"/>
      <c r="U234" s="44">
        <f t="shared" si="32"/>
        <v>0</v>
      </c>
      <c r="V234" s="49" t="str">
        <f t="shared" si="33"/>
        <v/>
      </c>
      <c r="W234" s="50" t="str">
        <f t="shared" si="34"/>
        <v/>
      </c>
      <c r="X234" s="47"/>
      <c r="Y234" s="42"/>
      <c r="Z234" s="48"/>
      <c r="AA234" s="44">
        <f t="shared" si="35"/>
        <v>0</v>
      </c>
      <c r="AB234" s="49" t="str">
        <f t="shared" si="36"/>
        <v/>
      </c>
      <c r="AC234" s="50" t="str">
        <f t="shared" si="37"/>
        <v/>
      </c>
    </row>
    <row r="235" spans="1:29">
      <c r="B235" s="52" t="str">
        <f>[1]!ArticleCode(Art_26.36.40.)</f>
        <v>26.36.40.</v>
      </c>
      <c r="C235" s="53" t="str">
        <f>[1]!ArticleDescription(Art_26.36.40.)</f>
        <v>prefab elementen – draagvloeren/balken en vulblokken</v>
      </c>
      <c r="D235" s="42"/>
      <c r="E235" s="42"/>
      <c r="F235" s="42"/>
      <c r="G235" s="42"/>
      <c r="H235" s="44"/>
      <c r="I235" s="44"/>
      <c r="J235" s="45"/>
      <c r="K235" s="46"/>
      <c r="L235" s="47"/>
      <c r="M235" s="42"/>
      <c r="N235" s="48"/>
      <c r="O235" s="44">
        <f t="shared" si="29"/>
        <v>0</v>
      </c>
      <c r="P235" s="49" t="str">
        <f t="shared" si="30"/>
        <v/>
      </c>
      <c r="Q235" s="50" t="str">
        <f t="shared" si="31"/>
        <v/>
      </c>
      <c r="R235" s="47"/>
      <c r="S235" s="42"/>
      <c r="T235" s="48"/>
      <c r="U235" s="44">
        <f t="shared" si="32"/>
        <v>0</v>
      </c>
      <c r="V235" s="49" t="str">
        <f t="shared" si="33"/>
        <v/>
      </c>
      <c r="W235" s="50" t="str">
        <f t="shared" si="34"/>
        <v/>
      </c>
      <c r="X235" s="47"/>
      <c r="Y235" s="42"/>
      <c r="Z235" s="48"/>
      <c r="AA235" s="44">
        <f t="shared" si="35"/>
        <v>0</v>
      </c>
      <c r="AB235" s="49" t="str">
        <f t="shared" si="36"/>
        <v/>
      </c>
      <c r="AC235" s="50" t="str">
        <f t="shared" si="37"/>
        <v/>
      </c>
    </row>
    <row r="236" spans="1:29">
      <c r="A236" s="51">
        <f>A233+1</f>
        <v>71</v>
      </c>
      <c r="B236" s="52" t="str">
        <f>[1]!ArticleCode(Art_26.36.44.)</f>
        <v>26.36.44.</v>
      </c>
      <c r="C236" s="53" t="str">
        <f>[1]!ArticleDescription(Art_26.36.44.)</f>
        <v>prefab elementen – draagvloeren gepolierd/balken en vulblokken – vulblokken geperste houtvezel (plaatsing balken en potten door bouwteam)</v>
      </c>
      <c r="D236" s="42" t="str">
        <f>[1]!ArticleMeasureType(Art_26.36.44.)</f>
        <v>FH</v>
      </c>
      <c r="E236" s="42" t="str">
        <f>[1]!ArticleMeasureUnit(Art_26.36.44.)</f>
        <v>m2</v>
      </c>
      <c r="F236" s="61">
        <f>[1]!ArticleQuantity(Art_26.36.44.)</f>
        <v>99.6</v>
      </c>
      <c r="G236" s="42"/>
      <c r="H236" s="44"/>
      <c r="I236" s="44">
        <f>IF(RIGHT($D236,1)="-","************",ROUND(IF(NOT(ISNUMBER(G236)),IF(NOT(ISNUMBER(F236)),1,F236),G236)*H236,2))</f>
        <v>0</v>
      </c>
      <c r="J236" s="45"/>
      <c r="K236" s="46"/>
      <c r="L236" s="47"/>
      <c r="M236" s="42"/>
      <c r="N236" s="48"/>
      <c r="O236" s="44">
        <f t="shared" si="29"/>
        <v>0</v>
      </c>
      <c r="P236" s="49" t="str">
        <f t="shared" si="30"/>
        <v/>
      </c>
      <c r="Q236" s="50" t="str">
        <f t="shared" si="31"/>
        <v/>
      </c>
      <c r="R236" s="47"/>
      <c r="S236" s="42"/>
      <c r="T236" s="48"/>
      <c r="U236" s="44">
        <f t="shared" si="32"/>
        <v>0</v>
      </c>
      <c r="V236" s="49" t="str">
        <f t="shared" si="33"/>
        <v/>
      </c>
      <c r="W236" s="50" t="str">
        <f t="shared" si="34"/>
        <v/>
      </c>
      <c r="X236" s="47"/>
      <c r="Y236" s="42"/>
      <c r="Z236" s="48"/>
      <c r="AA236" s="44">
        <f t="shared" si="35"/>
        <v>0</v>
      </c>
      <c r="AB236" s="49" t="str">
        <f t="shared" si="36"/>
        <v/>
      </c>
      <c r="AC236" s="50" t="str">
        <f t="shared" si="37"/>
        <v/>
      </c>
    </row>
    <row r="237" spans="1:29">
      <c r="B237" s="54"/>
      <c r="C237" s="55"/>
      <c r="D237" s="56"/>
      <c r="E237" s="55"/>
      <c r="F237" s="55"/>
      <c r="G237" s="55"/>
      <c r="H237" s="57"/>
      <c r="I237" s="57"/>
      <c r="J237" s="58">
        <f>SUBTOTAL(9,I216:I236)</f>
        <v>0</v>
      </c>
      <c r="K237" s="46"/>
      <c r="L237" s="47"/>
      <c r="M237" s="42"/>
      <c r="N237" s="48"/>
      <c r="O237" s="44">
        <f t="shared" si="29"/>
        <v>0</v>
      </c>
      <c r="P237" s="49" t="str">
        <f t="shared" si="30"/>
        <v/>
      </c>
      <c r="Q237" s="50" t="str">
        <f t="shared" si="31"/>
        <v/>
      </c>
      <c r="R237" s="47"/>
      <c r="S237" s="42"/>
      <c r="T237" s="48"/>
      <c r="U237" s="44">
        <f t="shared" si="32"/>
        <v>0</v>
      </c>
      <c r="V237" s="49" t="str">
        <f t="shared" si="33"/>
        <v/>
      </c>
      <c r="W237" s="50" t="str">
        <f t="shared" si="34"/>
        <v/>
      </c>
      <c r="X237" s="47"/>
      <c r="Y237" s="42"/>
      <c r="Z237" s="48"/>
      <c r="AA237" s="44">
        <f t="shared" si="35"/>
        <v>0</v>
      </c>
      <c r="AB237" s="49" t="str">
        <f t="shared" si="36"/>
        <v/>
      </c>
      <c r="AC237" s="50" t="str">
        <f t="shared" si="37"/>
        <v/>
      </c>
    </row>
    <row r="238" spans="1:29">
      <c r="B238" s="59"/>
      <c r="C238" s="42"/>
      <c r="D238" s="42"/>
      <c r="E238" s="42"/>
      <c r="F238" s="42"/>
      <c r="G238" s="42"/>
      <c r="H238" s="44"/>
      <c r="I238" s="44"/>
      <c r="J238" s="45"/>
      <c r="K238" s="46"/>
      <c r="L238" s="47"/>
      <c r="M238" s="42"/>
      <c r="N238" s="48"/>
      <c r="O238" s="44">
        <f t="shared" si="29"/>
        <v>0</v>
      </c>
      <c r="P238" s="49" t="str">
        <f t="shared" si="30"/>
        <v/>
      </c>
      <c r="Q238" s="50" t="str">
        <f t="shared" si="31"/>
        <v/>
      </c>
      <c r="R238" s="47"/>
      <c r="S238" s="42"/>
      <c r="T238" s="48"/>
      <c r="U238" s="44">
        <f t="shared" si="32"/>
        <v>0</v>
      </c>
      <c r="V238" s="49" t="str">
        <f t="shared" si="33"/>
        <v/>
      </c>
      <c r="W238" s="50" t="str">
        <f t="shared" si="34"/>
        <v/>
      </c>
      <c r="X238" s="47"/>
      <c r="Y238" s="42"/>
      <c r="Z238" s="48"/>
      <c r="AA238" s="44">
        <f t="shared" si="35"/>
        <v>0</v>
      </c>
      <c r="AB238" s="49" t="str">
        <f t="shared" si="36"/>
        <v/>
      </c>
      <c r="AC238" s="50" t="str">
        <f t="shared" si="37"/>
        <v/>
      </c>
    </row>
    <row r="239" spans="1:29">
      <c r="B239" s="41" t="s">
        <v>398</v>
      </c>
      <c r="C239" s="42"/>
      <c r="D239" s="43"/>
      <c r="E239" s="42"/>
      <c r="F239" s="42"/>
      <c r="G239" s="42"/>
      <c r="H239" s="44"/>
      <c r="I239" s="44"/>
      <c r="J239" s="45"/>
      <c r="K239" s="46"/>
      <c r="L239" s="47"/>
      <c r="M239" s="42"/>
      <c r="N239" s="48"/>
      <c r="O239" s="44">
        <f t="shared" si="29"/>
        <v>0</v>
      </c>
      <c r="P239" s="49" t="str">
        <f t="shared" si="30"/>
        <v/>
      </c>
      <c r="Q239" s="50" t="str">
        <f t="shared" si="31"/>
        <v/>
      </c>
      <c r="R239" s="47"/>
      <c r="S239" s="42"/>
      <c r="T239" s="48"/>
      <c r="U239" s="44">
        <f t="shared" si="32"/>
        <v>0</v>
      </c>
      <c r="V239" s="49" t="str">
        <f t="shared" si="33"/>
        <v/>
      </c>
      <c r="W239" s="50" t="str">
        <f t="shared" si="34"/>
        <v/>
      </c>
      <c r="X239" s="47"/>
      <c r="Y239" s="42"/>
      <c r="Z239" s="48"/>
      <c r="AA239" s="44">
        <f t="shared" si="35"/>
        <v>0</v>
      </c>
      <c r="AB239" s="49" t="str">
        <f t="shared" si="36"/>
        <v/>
      </c>
      <c r="AC239" s="50" t="str">
        <f t="shared" si="37"/>
        <v/>
      </c>
    </row>
    <row r="240" spans="1:29">
      <c r="B240" s="52" t="str">
        <f>[1]!ArticleCode(Art_27.)</f>
        <v>27.</v>
      </c>
      <c r="C240" s="53" t="str">
        <f>[1]!ArticleDescription(Art_27.)</f>
        <v>STRUCTUURELEMENTEN STAAL</v>
      </c>
      <c r="D240" s="42"/>
      <c r="E240" s="42"/>
      <c r="F240" s="42"/>
      <c r="G240" s="42"/>
      <c r="H240" s="44"/>
      <c r="I240" s="44"/>
      <c r="J240" s="45"/>
      <c r="K240" s="46"/>
      <c r="L240" s="47"/>
      <c r="M240" s="42"/>
      <c r="N240" s="48"/>
      <c r="O240" s="44">
        <f t="shared" si="29"/>
        <v>0</v>
      </c>
      <c r="P240" s="49" t="str">
        <f t="shared" si="30"/>
        <v/>
      </c>
      <c r="Q240" s="50" t="str">
        <f t="shared" si="31"/>
        <v/>
      </c>
      <c r="R240" s="47"/>
      <c r="S240" s="42"/>
      <c r="T240" s="48"/>
      <c r="U240" s="44">
        <f t="shared" si="32"/>
        <v>0</v>
      </c>
      <c r="V240" s="49" t="str">
        <f t="shared" si="33"/>
        <v/>
      </c>
      <c r="W240" s="50" t="str">
        <f t="shared" si="34"/>
        <v/>
      </c>
      <c r="X240" s="47"/>
      <c r="Y240" s="42"/>
      <c r="Z240" s="48"/>
      <c r="AA240" s="44">
        <f t="shared" si="35"/>
        <v>0</v>
      </c>
      <c r="AB240" s="49" t="str">
        <f t="shared" si="36"/>
        <v/>
      </c>
      <c r="AC240" s="50" t="str">
        <f t="shared" si="37"/>
        <v/>
      </c>
    </row>
    <row r="241" spans="1:29">
      <c r="B241" s="52" t="str">
        <f>[1]!ArticleCode(Art_27.00.)</f>
        <v>27.00.</v>
      </c>
      <c r="C241" s="53" t="str">
        <f>[1]!ArticleDescription(Art_27.00.)</f>
        <v>structuurelementen staal – algemeen</v>
      </c>
      <c r="D241" s="42"/>
      <c r="E241" s="42"/>
      <c r="F241" s="42"/>
      <c r="G241" s="42"/>
      <c r="H241" s="44"/>
      <c r="I241" s="44"/>
      <c r="J241" s="45"/>
      <c r="K241" s="46"/>
      <c r="L241" s="47"/>
      <c r="M241" s="42"/>
      <c r="N241" s="48"/>
      <c r="O241" s="44">
        <f t="shared" si="29"/>
        <v>0</v>
      </c>
      <c r="P241" s="49" t="str">
        <f t="shared" si="30"/>
        <v/>
      </c>
      <c r="Q241" s="50" t="str">
        <f t="shared" si="31"/>
        <v/>
      </c>
      <c r="R241" s="47"/>
      <c r="S241" s="42"/>
      <c r="T241" s="48"/>
      <c r="U241" s="44">
        <f t="shared" si="32"/>
        <v>0</v>
      </c>
      <c r="V241" s="49" t="str">
        <f t="shared" si="33"/>
        <v/>
      </c>
      <c r="W241" s="50" t="str">
        <f t="shared" si="34"/>
        <v/>
      </c>
      <c r="X241" s="47"/>
      <c r="Y241" s="42"/>
      <c r="Z241" s="48"/>
      <c r="AA241" s="44">
        <f t="shared" si="35"/>
        <v>0</v>
      </c>
      <c r="AB241" s="49" t="str">
        <f t="shared" si="36"/>
        <v/>
      </c>
      <c r="AC241" s="50" t="str">
        <f t="shared" si="37"/>
        <v/>
      </c>
    </row>
    <row r="242" spans="1:29">
      <c r="A242" s="51">
        <f>A236+1</f>
        <v>72</v>
      </c>
      <c r="B242" s="52" t="str">
        <f>[1]!ArticleCode(Art_27.02.)</f>
        <v>27.02.</v>
      </c>
      <c r="C242" s="53" t="str">
        <f>[1]!ArticleDescription(Art_27.02.)</f>
        <v>algemeen – stabiliteitsstudie</v>
      </c>
      <c r="D242" s="42" t="str">
        <f>[1]!ArticleMeasureType(Art_27.02.)</f>
        <v>PM</v>
      </c>
      <c r="E242" s="42" t="str">
        <f>[1]!ArticleMeasureUnit(Art_27.02.)</f>
        <v/>
      </c>
      <c r="F242" s="60" t="str">
        <f>[1]!ArticleQuantity(Art_27.02.)</f>
        <v/>
      </c>
      <c r="G242" s="42"/>
      <c r="H242" s="44"/>
      <c r="I242" s="44">
        <f>IF(RIGHT($D242,1)="-","************",ROUND(IF(NOT(ISNUMBER(G242)),IF(NOT(ISNUMBER(F242)),1,F242),G242)*H242,2))</f>
        <v>0</v>
      </c>
      <c r="J242" s="45"/>
      <c r="K242" s="46"/>
      <c r="L242" s="47"/>
      <c r="M242" s="42"/>
      <c r="N242" s="48"/>
      <c r="O242" s="44">
        <f t="shared" si="29"/>
        <v>0</v>
      </c>
      <c r="P242" s="49" t="str">
        <f t="shared" si="30"/>
        <v/>
      </c>
      <c r="Q242" s="50" t="str">
        <f t="shared" si="31"/>
        <v/>
      </c>
      <c r="R242" s="47"/>
      <c r="S242" s="42"/>
      <c r="T242" s="48"/>
      <c r="U242" s="44">
        <f t="shared" si="32"/>
        <v>0</v>
      </c>
      <c r="V242" s="49" t="str">
        <f t="shared" si="33"/>
        <v/>
      </c>
      <c r="W242" s="50" t="str">
        <f t="shared" si="34"/>
        <v/>
      </c>
      <c r="X242" s="47"/>
      <c r="Y242" s="42"/>
      <c r="Z242" s="48"/>
      <c r="AA242" s="44">
        <f t="shared" si="35"/>
        <v>0</v>
      </c>
      <c r="AB242" s="49" t="str">
        <f t="shared" si="36"/>
        <v/>
      </c>
      <c r="AC242" s="50" t="str">
        <f t="shared" si="37"/>
        <v/>
      </c>
    </row>
    <row r="243" spans="1:29">
      <c r="B243" s="52" t="str">
        <f>[1]!ArticleCode(Art_27.10.)</f>
        <v>27.10.</v>
      </c>
      <c r="C243" s="53" t="str">
        <f>[1]!ArticleDescription(Art_27.10.)</f>
        <v>balken – algemeen</v>
      </c>
      <c r="D243" s="42"/>
      <c r="E243" s="42"/>
      <c r="F243" s="42"/>
      <c r="G243" s="42"/>
      <c r="H243" s="44"/>
      <c r="I243" s="44"/>
      <c r="J243" s="45"/>
      <c r="K243" s="46"/>
      <c r="L243" s="47"/>
      <c r="M243" s="42"/>
      <c r="N243" s="48"/>
      <c r="O243" s="44">
        <f t="shared" si="29"/>
        <v>0</v>
      </c>
      <c r="P243" s="49" t="str">
        <f t="shared" si="30"/>
        <v/>
      </c>
      <c r="Q243" s="50" t="str">
        <f t="shared" si="31"/>
        <v/>
      </c>
      <c r="R243" s="47"/>
      <c r="S243" s="42"/>
      <c r="T243" s="48"/>
      <c r="U243" s="44">
        <f t="shared" si="32"/>
        <v>0</v>
      </c>
      <c r="V243" s="49" t="str">
        <f t="shared" si="33"/>
        <v/>
      </c>
      <c r="W243" s="50" t="str">
        <f t="shared" si="34"/>
        <v/>
      </c>
      <c r="X243" s="47"/>
      <c r="Y243" s="42"/>
      <c r="Z243" s="48"/>
      <c r="AA243" s="44">
        <f t="shared" si="35"/>
        <v>0</v>
      </c>
      <c r="AB243" s="49" t="str">
        <f t="shared" si="36"/>
        <v/>
      </c>
      <c r="AC243" s="50" t="str">
        <f t="shared" si="37"/>
        <v/>
      </c>
    </row>
    <row r="244" spans="1:29">
      <c r="A244" s="51">
        <f>A242+1</f>
        <v>73</v>
      </c>
      <c r="B244" s="52" t="str">
        <f>[1]!ArticleCode(Art_27.11.)</f>
        <v>27.11.</v>
      </c>
      <c r="C244" s="53" t="str">
        <f>[1]!ArticleDescription(Art_27.11.)</f>
        <v>balken – blank profielstaal</v>
      </c>
      <c r="D244" s="42" t="str">
        <f>[1]!ArticleMeasureType(Art_27.11.)</f>
        <v>FH</v>
      </c>
      <c r="E244" s="42" t="str">
        <f>[1]!ArticleMeasureUnit(Art_27.11.)</f>
        <v>kg</v>
      </c>
      <c r="F244" s="122">
        <f>[1]!ArticleQuantity(Art_27.11.)</f>
        <v>122.744</v>
      </c>
      <c r="G244" s="42"/>
      <c r="H244" s="44"/>
      <c r="I244" s="44">
        <f>IF(RIGHT($D244,1)="-","************",ROUND(IF(NOT(ISNUMBER(G244)),IF(NOT(ISNUMBER(F244)),1,F244),G244)*H244,2))</f>
        <v>0</v>
      </c>
      <c r="J244" s="45"/>
      <c r="K244" s="46"/>
      <c r="L244" s="47"/>
      <c r="M244" s="42"/>
      <c r="N244" s="48"/>
      <c r="O244" s="44">
        <f t="shared" si="29"/>
        <v>0</v>
      </c>
      <c r="P244" s="49" t="str">
        <f t="shared" si="30"/>
        <v/>
      </c>
      <c r="Q244" s="50" t="str">
        <f t="shared" si="31"/>
        <v/>
      </c>
      <c r="R244" s="47"/>
      <c r="S244" s="42"/>
      <c r="T244" s="48"/>
      <c r="U244" s="44">
        <f t="shared" si="32"/>
        <v>0</v>
      </c>
      <c r="V244" s="49" t="str">
        <f t="shared" si="33"/>
        <v/>
      </c>
      <c r="W244" s="50" t="str">
        <f t="shared" si="34"/>
        <v/>
      </c>
      <c r="X244" s="47"/>
      <c r="Y244" s="42"/>
      <c r="Z244" s="48"/>
      <c r="AA244" s="44">
        <f t="shared" si="35"/>
        <v>0</v>
      </c>
      <c r="AB244" s="49" t="str">
        <f t="shared" si="36"/>
        <v/>
      </c>
      <c r="AC244" s="50" t="str">
        <f t="shared" si="37"/>
        <v/>
      </c>
    </row>
    <row r="245" spans="1:29">
      <c r="B245" s="54"/>
      <c r="C245" s="55"/>
      <c r="D245" s="56"/>
      <c r="E245" s="55"/>
      <c r="F245" s="55"/>
      <c r="G245" s="55"/>
      <c r="H245" s="57"/>
      <c r="I245" s="57"/>
      <c r="J245" s="58">
        <f>SUBTOTAL(9,I240:I244)</f>
        <v>0</v>
      </c>
      <c r="K245" s="46"/>
      <c r="L245" s="123"/>
      <c r="M245" s="124"/>
      <c r="N245" s="125"/>
      <c r="O245" s="126">
        <f t="shared" si="29"/>
        <v>0</v>
      </c>
      <c r="P245" s="127" t="str">
        <f t="shared" si="30"/>
        <v/>
      </c>
      <c r="Q245" s="128" t="str">
        <f t="shared" si="31"/>
        <v/>
      </c>
      <c r="R245" s="123"/>
      <c r="S245" s="124"/>
      <c r="T245" s="125"/>
      <c r="U245" s="126">
        <f t="shared" si="32"/>
        <v>0</v>
      </c>
      <c r="V245" s="127" t="str">
        <f t="shared" si="33"/>
        <v/>
      </c>
      <c r="W245" s="128" t="str">
        <f t="shared" si="34"/>
        <v/>
      </c>
      <c r="X245" s="123"/>
      <c r="Y245" s="124"/>
      <c r="Z245" s="125"/>
      <c r="AA245" s="126">
        <f t="shared" si="35"/>
        <v>0</v>
      </c>
      <c r="AB245" s="127" t="str">
        <f t="shared" si="36"/>
        <v/>
      </c>
      <c r="AC245" s="128" t="str">
        <f t="shared" si="37"/>
        <v/>
      </c>
    </row>
    <row r="246" spans="1:29">
      <c r="A246" s="62"/>
      <c r="B246" s="62"/>
      <c r="C246" s="62"/>
      <c r="D246" s="62"/>
      <c r="E246" s="62"/>
      <c r="F246" s="63"/>
      <c r="G246" s="64" t="s">
        <v>110</v>
      </c>
      <c r="H246" s="65"/>
      <c r="I246" s="66">
        <f>SUM(I$11:I245)</f>
        <v>0</v>
      </c>
      <c r="J246" s="67">
        <f>SUM(J$11:J245)</f>
        <v>0</v>
      </c>
      <c r="K246" s="68"/>
      <c r="L246" s="18"/>
      <c r="M246" s="18"/>
      <c r="N246" s="18"/>
      <c r="O246" s="18">
        <f>SUM(O$10:O245)</f>
        <v>0</v>
      </c>
      <c r="P246" s="18"/>
      <c r="Q246" s="18"/>
      <c r="R246" s="18"/>
      <c r="S246" s="18"/>
      <c r="T246" s="18"/>
      <c r="U246" s="18">
        <f>SUM(U$10:U245)</f>
        <v>0</v>
      </c>
      <c r="V246" s="18"/>
      <c r="W246" s="18"/>
      <c r="X246" s="18"/>
      <c r="Y246" s="18"/>
      <c r="Z246" s="18"/>
      <c r="AA246" s="18">
        <f>SUM(AA$10:AA245)</f>
        <v>0</v>
      </c>
      <c r="AB246" s="18"/>
      <c r="AC246" s="18"/>
    </row>
    <row r="247" spans="1:29">
      <c r="A247" s="69"/>
      <c r="B247" s="69"/>
      <c r="C247" s="69"/>
      <c r="D247" s="69"/>
      <c r="E247" s="69"/>
      <c r="F247" s="69"/>
      <c r="G247" s="70"/>
      <c r="H247" s="71"/>
      <c r="I247" s="72"/>
      <c r="J247" s="73"/>
      <c r="K247" s="2"/>
    </row>
    <row r="248" spans="1:29">
      <c r="A248" s="69"/>
      <c r="B248" s="69"/>
      <c r="C248" s="69"/>
      <c r="D248" s="69"/>
      <c r="E248" s="69"/>
      <c r="F248" s="69"/>
      <c r="G248" s="74" t="s">
        <v>111</v>
      </c>
      <c r="H248" s="75">
        <v>0.21</v>
      </c>
      <c r="I248" s="76">
        <f>ROUND(I246*H248,2)</f>
        <v>0</v>
      </c>
      <c r="J248" s="73">
        <f>ROUND(J246*H248,2)</f>
        <v>0</v>
      </c>
      <c r="K248" s="2"/>
    </row>
    <row r="249" spans="1:29">
      <c r="A249" s="69"/>
      <c r="B249" s="69"/>
      <c r="C249" s="69"/>
      <c r="D249" s="69"/>
      <c r="E249" s="69"/>
      <c r="F249" s="69"/>
      <c r="G249" s="70"/>
      <c r="H249" s="71"/>
      <c r="I249" s="66"/>
      <c r="J249" s="67"/>
      <c r="K249" s="2"/>
    </row>
    <row r="250" spans="1:29" ht="13.5" thickBot="1">
      <c r="A250" s="69"/>
      <c r="B250" s="69"/>
      <c r="C250" s="69"/>
      <c r="D250" s="69"/>
      <c r="E250" s="69"/>
      <c r="F250" s="69"/>
      <c r="G250" s="77" t="s">
        <v>112</v>
      </c>
      <c r="H250" s="78"/>
      <c r="I250" s="79">
        <f>I248+I246</f>
        <v>0</v>
      </c>
      <c r="J250" s="80">
        <f>J248+J246</f>
        <v>0</v>
      </c>
      <c r="K250" s="2"/>
    </row>
    <row r="251" spans="1:29" ht="13.5" thickTop="1"/>
  </sheetData>
  <customSheetViews>
    <customSheetView guid="{C6F4E7AD-9432-49D3-8D5A-6AE8172A821F}" hiddenRows="1" hiddenColumns="1" topLeftCell="A2">
      <pane xSplit="10" ySplit="7" topLeftCell="S9" activePane="bottomRight" state="frozen"/>
      <selection pane="bottomRight" activeCell="A9" sqref="A9"/>
    </customSheetView>
    <customSheetView guid="{F61B4A02-03E5-44B1-8741-5B0A062D5F61}" hiddenRows="1" hiddenColumns="1" topLeftCell="A2">
      <pane xSplit="10" ySplit="7" topLeftCell="S9" activePane="bottomRight" state="frozen"/>
      <selection pane="bottomRight" activeCell="A9" sqref="A9"/>
    </customSheetView>
  </customSheetViews>
  <mergeCells count="1">
    <mergeCell ref="D9:E9"/>
  </mergeCells>
  <pageMargins left="0.25" right="0.25" top="0.75" bottom="0.75" header="0.3" footer="0.3"/>
  <pageSetup paperSize="9" scale="70" fitToHeight="0" orientation="portrait" horizontalDpi="300" verticalDpi="300" r:id="rId1"/>
  <headerFooter alignWithMargins="0">
    <oddHeader>&amp;L&amp;D&amp;CSamenvattende opmeting dossier xxx - lot xxx&amp;R&amp;P</oddHeader>
  </headerFooter>
  <colBreaks count="2" manualBreakCount="2">
    <brk id="10" max="29" man="1"/>
    <brk id="23" max="29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datamerge>
  <properties>
    <property name="Dossiernummer" code="[Dossiernummer]" value="DED17"/>
    <property name="Dossiernaam" code="[Dossiernaam]" value="Woning Eva&amp; David"/>
    <property name="Bouwheer" code="[Bouwheer]" value="Eva&amp;David" link="Bouwheren">
      <property name="ID" code="[Bouwheer.ID]" value="Eva&amp;David"/>
      <property name="Bedrijfsnaam" code="[Bouwheer.Bedrijfsnaam]" value=""/>
      <property name="Bedrijfsvorm" code="[Bouwheer.Bedrijfsvorm]" value=""/>
      <property name="Aanspreking" code="[Bouwheer.Aanspreking]" value="dhr."/>
      <property name="Naam" code="[Bouwheer.Naam]" value="DE REU"/>
      <property name="Voornaam" code="[Bouwheer.Voornaam]" value="David"/>
      <property name="en" code="[Bouwheer.en]" value="&amp;"/>
      <property name="Aanspreking2" code="[Bouwheer.Aanspreking2]" value="mvr."/>
      <property name="Naam2" code="[Bouwheer.Naam2]" value="VAN CAENEGEM"/>
      <property name="Voornaam2" code="[Bouwheer.Voornaam2]" value="Eva"/>
      <property name="BouwheerNaam" code="[Bouwheer.BouwheerNaam]" value="dhr. David DE REU &amp; mvr. Eva VAN CAENEGEM"/>
      <property name="Adres" code="[Bouwheer.Adres]" value="Bollebergen 39"/>
      <property name="Postcode" code="[Bouwheer.Postcode]" value="9052"/>
      <property name="Gemeente" code="[Bouwheer.Gemeente]" value="Zwijnaarde"/>
      <property name="Telefoon" code="[Bouwheer.Telefoon]" value=""/>
      <property name="Email" code="[Bouwheer.Email]" value="" func="@"/>
      <property name="GSM" code="[Bouwheer.GSM]" value=""/>
      <property name="Fax" code="[Bouwheer.Fax]" value=""/>
      <property name="BTW" code="[Bouwheer.BTW]" value=""/>
      <property name="Ondernemingsnummer" code="[Bouwheer.Ondernemingsnummer]" value=""/>
      <property name="MaatschappelijkeZetel" code="[Bouwheer.MaatschappelijkeZetel]" value=""/>
    </property>
    <property name="Dossieromschrijving" code="[Dossieromschrijving]" value="Bouwen van een ééngezinswoning"/>
    <property name="Dossiermap" code="[Dossiermap]" value="DED"/>
    <property name="Dossierdatum" code="[Dossierdatum]" value=""/>
    <property name="Projectstatus" code="[Projectstatus]" value="bouwaanvraag"/>
    <property name="Werf" code="[Werf]" value="Antoon Catriestraat - 9031 Drongen" link="Werven">
      <property name="ID" code="[Werf.ID]" value=""/>
      <property name="Provincie" code="[Werf.Provincie]" value=""/>
      <property name="Adres" code="[Werf.Adres]" value=""/>
      <property name="Postcode" code="[Werf.Postcode]" value=""/>
      <property name="Gemeente" code="[Werf.Gemeente]" value=""/>
      <property name="Telefoon" code="[Werf.Telefoon]" value=""/>
      <property name="Fax" code="[Werf.Fax]" value=""/>
      <property name="DatumStart" code="[Werf.DatumStart]" value=""/>
      <property name="Kadaster" code="[Werf.Kadaster]" value=""/>
      <property name="Verkaveling" code="[Werf.Verkaveling]" value=""/>
      <property name="DatumVerkaveling" code="[Werf.DatumVerkaveling]" value=""/>
      <property name="Werfleider" code="[Werf.Werfleider]" value="" link="Medewerkers">
        <property name="ID" code="[Werf.Werfleider.ID]" value=""/>
        <property name="Naam" code="[Werf.Werfleider.Naam]" value=""/>
        <property name="Voornaam" code="[Werf.Werfleider.Voornaam]" value=""/>
        <property name="Functie" code="[Werf.Werfleider.Functie]" value=""/>
        <property name="Email" code="[Werf.Werfleider.Email]" value="" func="@"/>
      </property>
    </property>
    <group name="Architecten">
      <property name="Architect" code="[Architect]" value="" link="Architecten">
        <property name="ID" code="[Architect.ID]" value=""/>
        <property name="Bedrijfsnaam" code="[Architect.Bedrijfsnaam]" value=""/>
        <property name="Bedrijfsvorm" code="[Architect.Bedrijfsvorm]" value=""/>
        <property name="Aanspreking" code="[Architect.Aanspreking]" value=""/>
        <property name="Naam" code="[Architect.Naam]" value=""/>
        <property name="Voornaam" code="[Architect.Voornaam]" value=""/>
        <property name="Adres" code="[Architect.Adres]" value=""/>
        <property name="Postcode" code="[Architect.Postcode]" value=""/>
        <property name="Gemeente" code="[Architect.Gemeente]" value=""/>
        <property name="Telefoon" code="[Architect.Telefoon]" value=""/>
        <property name="Email" code="[Architect.Email]" value="" func="@"/>
        <property name="GSM" code="[Architect.GSM]" value=""/>
        <property name="Fax" code="[Architect.Fax]" value=""/>
        <property name="Disciplines" code="[Architect.Disciplines]" value=""/>
        <property name="Ondernemingsnummer" code="[Architect.Ondernemingsnummer]" value=""/>
        <property name="MaatschappelijkeZetel" code="[Architect.MaatschappelijkeZetel]" value=""/>
        <property name="RPR" code="[Architect.RPR]" value=""/>
        <property name="OrdeProvincie" code="[Architect.OrdeProvincie]" value=""/>
      </property>
      <property name="Interieurarchitect" code="[Interieurarchitect]" value="" link="Architecten">
        <property name="ID" code="[Interieurarchitect.ID]" value=""/>
        <property name="Bedrijfsnaam" code="[Interieurarchitect.Bedrijfsnaam]" value=""/>
        <property name="Bedrijfsvorm" code="[Interieurarchitect.Bedrijfsvorm]" value=""/>
        <property name="Aanspreking" code="[Interieurarchitect.Aanspreking]" value=""/>
        <property name="Naam" code="[Interieurarchitect.Naam]" value=""/>
        <property name="Voornaam" code="[Interieurarchitect.Voornaam]" value=""/>
        <property name="Adres" code="[Interieurarchitect.Adres]" value=""/>
        <property name="Postcode" code="[Interieurarchitect.Postcode]" value=""/>
        <property name="Gemeente" code="[Interieurarchitect.Gemeente]" value=""/>
        <property name="Telefoon" code="[Interieurarchitect.Telefoon]" value=""/>
        <property name="Email" code="[Interieurarchitect.Email]" value="" func="@"/>
        <property name="GSM" code="[Interieurarchitect.GSM]" value=""/>
        <property name="Fax" code="[Interieurarchitect.Fax]" value=""/>
        <property name="Disciplines" code="[Interieurarchitect.Disciplines]" value=""/>
        <property name="Ondernemingsnummer" code="[Interieurarchitect.Ondernemingsnummer]" value=""/>
        <property name="MaatschappelijkeZetel" code="[Interieurarchitect.MaatschappelijkeZetel]" value=""/>
        <property name="RPR" code="[Interieurarchitect.RPR]" value=""/>
        <property name="OrdeProvincie" code="[Interieurarchitect.OrdeProvincie]" value=""/>
      </property>
      <property name="Tuin_en_landschapsarchitect" code="[Tuin_en_landschapsarchitect]" value="" link="Architecten">
        <property name="ID" code="[Tuin_en_landschapsarchitect.ID]" value=""/>
        <property name="Bedrijfsnaam" code="[Tuin_en_landschapsarchitect.Bedrijfsnaam]" value=""/>
        <property name="Bedrijfsvorm" code="[Tuin_en_landschapsarchitect.Bedrijfsvorm]" value=""/>
        <property name="Aanspreking" code="[Tuin_en_landschapsarchitect.Aanspreking]" value=""/>
        <property name="Naam" code="[Tuin_en_landschapsarchitect.Naam]" value=""/>
        <property name="Voornaam" code="[Tuin_en_landschapsarchitect.Voornaam]" value=""/>
        <property name="Adres" code="[Tuin_en_landschapsarchitect.Adres]" value=""/>
        <property name="Postcode" code="[Tuin_en_landschapsarchitect.Postcode]" value=""/>
        <property name="Gemeente" code="[Tuin_en_landschapsarchitect.Gemeente]" value=""/>
        <property name="Telefoon" code="[Tuin_en_landschapsarchitect.Telefoon]" value=""/>
        <property name="Email" code="[Tuin_en_landschapsarchitect.Email]" value="" func="@"/>
        <property name="GSM" code="[Tuin_en_landschapsarchitect.GSM]" value=""/>
        <property name="Fax" code="[Tuin_en_landschapsarchitect.Fax]" value=""/>
        <property name="Disciplines" code="[Tuin_en_landschapsarchitect.Disciplines]" value=""/>
        <property name="Ondernemingsnummer" code="[Tuin_en_landschapsarchitect.Ondernemingsnummer]" value=""/>
        <property name="MaatschappelijkeZetel" code="[Tuin_en_landschapsarchitect.MaatschappelijkeZetel]" value=""/>
        <property name="RPR" code="[Tuin_en_landschapsarchitect.RPR]" value=""/>
        <property name="OrdeProvincie" code="[Tuin_en_landschapsarchitect.OrdeProvincie]" value=""/>
      </property>
    </group>
    <property name="ProjectLeider" code="[ProjectLeider]" value="" link="Medewerkers">
      <property name="ID" code="[ProjectLeider.ID]" value=""/>
      <property name="Naam" code="[ProjectLeider.Naam]" value=""/>
      <property name="Voornaam" code="[ProjectLeider.Voornaam]" value=""/>
      <property name="Functie" code="[ProjectLeider.Functie]" value=""/>
      <property name="Email" code="[ProjectLeider.Email]" value="" func="@"/>
    </property>
    <group name="Aannemers">
      <property name="Aannemer_Grondwerken" code="[Aannemer_Grondwerken]" value="" link="Aannemers">
        <property name="ID" code="[Aannemer_Grondwerken.ID]" value=""/>
        <property name="Bedrijfsnaam" code="[Aannemer_Grondwerken.Bedrijfsnaam]" value=""/>
        <property name="Bedrijfsvorm" code="[Aannemer_Grondwerken.Bedrijfsvorm]" value=""/>
        <property name="Aanspreking" code="[Aannemer_Grondwerken.Aanspreking]" value=""/>
        <property name="Naam" code="[Aannemer_Grondwerken.Naam]" value=""/>
        <property name="Voornaam" code="[Aannemer_Grondwerken.Voornaam]" value=""/>
        <property name="Adres" code="[Aannemer_Grondwerken.Adres]" value=""/>
        <property name="Postcode" code="[Aannemer_Grondwerken.Postcode]" value=""/>
        <property name="Gemeente" code="[Aannemer_Grondwerken.Gemeente]" value=""/>
        <property name="Telefoon" code="[Aannemer_Grondwerken.Telefoon]" value=""/>
        <property name="Email" code="[Aannemer_Grondwerken.Email]" value="" func="@"/>
        <property name="GSM" code="[Aannemer_Grondwerken.GSM]" value=""/>
        <property name="Fax" code="[Aannemer_Grondwerken.Fax]" value=""/>
        <property name="Ondernemingsnummer" code="[Aannemer_Grondwerken.Ondernemingsnummer]" value=""/>
        <property name="MaatschappelijkeZetel" code="[Aannemer_Grondwerken.MaatschappelijkeZetel]" value=""/>
        <property name="Klasse" code="[Aannemer_Grondwerken.Klasse]" value=""/>
        <property name="Disciplines" code="[Aannemer_Grondwerken.Disciplines]" value=""/>
      </property>
      <property name="Aannemer_Ruwbouw" code="[Aannemer_Ruwbouw]" value="" link="Aannemers">
        <property name="ID" code="[Aannemer_Ruwbouw.ID]" value=""/>
        <property name="Bedrijfsnaam" code="[Aannemer_Ruwbouw.Bedrijfsnaam]" value=""/>
        <property name="Bedrijfsvorm" code="[Aannemer_Ruwbouw.Bedrijfsvorm]" value=""/>
        <property name="Aanspreking" code="[Aannemer_Ruwbouw.Aanspreking]" value=""/>
        <property name="Naam" code="[Aannemer_Ruwbouw.Naam]" value=""/>
        <property name="Voornaam" code="[Aannemer_Ruwbouw.Voornaam]" value=""/>
        <property name="Adres" code="[Aannemer_Ruwbouw.Adres]" value=""/>
        <property name="Postcode" code="[Aannemer_Ruwbouw.Postcode]" value=""/>
        <property name="Gemeente" code="[Aannemer_Ruwbouw.Gemeente]" value=""/>
        <property name="Telefoon" code="[Aannemer_Ruwbouw.Telefoon]" value=""/>
        <property name="Email" code="[Aannemer_Ruwbouw.Email]" value="" func="@"/>
        <property name="GSM" code="[Aannemer_Ruwbouw.GSM]" value=""/>
        <property name="Fax" code="[Aannemer_Ruwbouw.Fax]" value=""/>
        <property name="Ondernemingsnummer" code="[Aannemer_Ruwbouw.Ondernemingsnummer]" value=""/>
        <property name="MaatschappelijkeZetel" code="[Aannemer_Ruwbouw.MaatschappelijkeZetel]" value=""/>
        <property name="Klasse" code="[Aannemer_Ruwbouw.Klasse]" value=""/>
        <property name="Disciplines" code="[Aannemer_Ruwbouw.Disciplines]" value=""/>
      </property>
      <property name="Aannemer_Dakwerken" code="[Aannemer_Dakwerken]" value="" link="Aannemers">
        <property name="ID" code="[Aannemer_Dakwerken.ID]" value=""/>
        <property name="Bedrijfsnaam" code="[Aannemer_Dakwerken.Bedrijfsnaam]" value=""/>
        <property name="Bedrijfsvorm" code="[Aannemer_Dakwerken.Bedrijfsvorm]" value=""/>
        <property name="Aanspreking" code="[Aannemer_Dakwerken.Aanspreking]" value=""/>
        <property name="Naam" code="[Aannemer_Dakwerken.Naam]" value=""/>
        <property name="Voornaam" code="[Aannemer_Dakwerken.Voornaam]" value=""/>
        <property name="Adres" code="[Aannemer_Dakwerken.Adres]" value=""/>
        <property name="Postcode" code="[Aannemer_Dakwerken.Postcode]" value=""/>
        <property name="Gemeente" code="[Aannemer_Dakwerken.Gemeente]" value=""/>
        <property name="Telefoon" code="[Aannemer_Dakwerken.Telefoon]" value=""/>
        <property name="Email" code="[Aannemer_Dakwerken.Email]" value="" func="@"/>
        <property name="GSM" code="[Aannemer_Dakwerken.GSM]" value=""/>
        <property name="Fax" code="[Aannemer_Dakwerken.Fax]" value=""/>
        <property name="Ondernemingsnummer" code="[Aannemer_Dakwerken.Ondernemingsnummer]" value=""/>
        <property name="MaatschappelijkeZetel" code="[Aannemer_Dakwerken.MaatschappelijkeZetel]" value=""/>
        <property name="Klasse" code="[Aannemer_Dakwerken.Klasse]" value=""/>
        <property name="Disciplines" code="[Aannemer_Dakwerken.Disciplines]" value=""/>
      </property>
      <property name="Aannemer_Schrijnwerk" code="[Aannemer_Schrijnwerk]" value="" link="Aannemers">
        <property name="ID" code="[Aannemer_Schrijnwerk.ID]" value=""/>
        <property name="Bedrijfsnaam" code="[Aannemer_Schrijnwerk.Bedrijfsnaam]" value=""/>
        <property name="Bedrijfsvorm" code="[Aannemer_Schrijnwerk.Bedrijfsvorm]" value=""/>
        <property name="Aanspreking" code="[Aannemer_Schrijnwerk.Aanspreking]" value=""/>
        <property name="Naam" code="[Aannemer_Schrijnwerk.Naam]" value=""/>
        <property name="Voornaam" code="[Aannemer_Schrijnwerk.Voornaam]" value=""/>
        <property name="Adres" code="[Aannemer_Schrijnwerk.Adres]" value=""/>
        <property name="Postcode" code="[Aannemer_Schrijnwerk.Postcode]" value=""/>
        <property name="Gemeente" code="[Aannemer_Schrijnwerk.Gemeente]" value=""/>
        <property name="Telefoon" code="[Aannemer_Schrijnwerk.Telefoon]" value=""/>
        <property name="Email" code="[Aannemer_Schrijnwerk.Email]" value="" func="@"/>
        <property name="GSM" code="[Aannemer_Schrijnwerk.GSM]" value=""/>
        <property name="Fax" code="[Aannemer_Schrijnwerk.Fax]" value=""/>
        <property name="Ondernemingsnummer" code="[Aannemer_Schrijnwerk.Ondernemingsnummer]" value=""/>
        <property name="MaatschappelijkeZetel" code="[Aannemer_Schrijnwerk.MaatschappelijkeZetel]" value=""/>
        <property name="Klasse" code="[Aannemer_Schrijnwerk.Klasse]" value=""/>
        <property name="Disciplines" code="[Aannemer_Schrijnwerk.Disciplines]" value=""/>
      </property>
      <property name="Aannemer_Elektra" code="[Aannemer_Elektra]" value="" link="Aannemers">
        <property name="ID" code="[Aannemer_Elektra.ID]" value=""/>
        <property name="Bedrijfsnaam" code="[Aannemer_Elektra.Bedrijfsnaam]" value=""/>
        <property name="Bedrijfsvorm" code="[Aannemer_Elektra.Bedrijfsvorm]" value=""/>
        <property name="Aanspreking" code="[Aannemer_Elektra.Aanspreking]" value=""/>
        <property name="Naam" code="[Aannemer_Elektra.Naam]" value=""/>
        <property name="Voornaam" code="[Aannemer_Elektra.Voornaam]" value=""/>
        <property name="Adres" code="[Aannemer_Elektra.Adres]" value=""/>
        <property name="Postcode" code="[Aannemer_Elektra.Postcode]" value=""/>
        <property name="Gemeente" code="[Aannemer_Elektra.Gemeente]" value=""/>
        <property name="Telefoon" code="[Aannemer_Elektra.Telefoon]" value=""/>
        <property name="Email" code="[Aannemer_Elektra.Email]" value="" func="@"/>
        <property name="GSM" code="[Aannemer_Elektra.GSM]" value=""/>
        <property name="Fax" code="[Aannemer_Elektra.Fax]" value=""/>
        <property name="Ondernemingsnummer" code="[Aannemer_Elektra.Ondernemingsnummer]" value=""/>
        <property name="MaatschappelijkeZetel" code="[Aannemer_Elektra.MaatschappelijkeZetel]" value=""/>
        <property name="Klasse" code="[Aannemer_Elektra.Klasse]" value=""/>
        <property name="Disciplines" code="[Aannemer_Elektra.Disciplines]" value=""/>
      </property>
      <property name="Aannemer_Pleisterwerk" code="[Aannemer_Pleisterwerk]" value="" link="Aannemers">
        <property name="ID" code="[Aannemer_Pleisterwerk.ID]" value=""/>
        <property name="Bedrijfsnaam" code="[Aannemer_Pleisterwerk.Bedrijfsnaam]" value=""/>
        <property name="Bedrijfsvorm" code="[Aannemer_Pleisterwerk.Bedrijfsvorm]" value=""/>
        <property name="Aanspreking" code="[Aannemer_Pleisterwerk.Aanspreking]" value=""/>
        <property name="Naam" code="[Aannemer_Pleisterwerk.Naam]" value=""/>
        <property name="Voornaam" code="[Aannemer_Pleisterwerk.Voornaam]" value=""/>
        <property name="Adres" code="[Aannemer_Pleisterwerk.Adres]" value=""/>
        <property name="Postcode" code="[Aannemer_Pleisterwerk.Postcode]" value=""/>
        <property name="Gemeente" code="[Aannemer_Pleisterwerk.Gemeente]" value=""/>
        <property name="Telefoon" code="[Aannemer_Pleisterwerk.Telefoon]" value=""/>
        <property name="Email" code="[Aannemer_Pleisterwerk.Email]" value="" func="@"/>
        <property name="GSM" code="[Aannemer_Pleisterwerk.GSM]" value=""/>
        <property name="Fax" code="[Aannemer_Pleisterwerk.Fax]" value=""/>
        <property name="Ondernemingsnummer" code="[Aannemer_Pleisterwerk.Ondernemingsnummer]" value=""/>
        <property name="MaatschappelijkeZetel" code="[Aannemer_Pleisterwerk.MaatschappelijkeZetel]" value=""/>
        <property name="Klasse" code="[Aannemer_Pleisterwerk.Klasse]" value=""/>
        <property name="Disciplines" code="[Aannemer_Pleisterwerk.Disciplines]" value=""/>
      </property>
      <property name="Aannemer_Sanitair" code="[Aannemer_Sanitair]" value="" link="Aannemers">
        <property name="ID" code="[Aannemer_Sanitair.ID]" value=""/>
        <property name="Bedrijfsnaam" code="[Aannemer_Sanitair.Bedrijfsnaam]" value=""/>
        <property name="Bedrijfsvorm" code="[Aannemer_Sanitair.Bedrijfsvorm]" value=""/>
        <property name="Aanspreking" code="[Aannemer_Sanitair.Aanspreking]" value=""/>
        <property name="Naam" code="[Aannemer_Sanitair.Naam]" value=""/>
        <property name="Voornaam" code="[Aannemer_Sanitair.Voornaam]" value=""/>
        <property name="Adres" code="[Aannemer_Sanitair.Adres]" value=""/>
        <property name="Postcode" code="[Aannemer_Sanitair.Postcode]" value=""/>
        <property name="Gemeente" code="[Aannemer_Sanitair.Gemeente]" value=""/>
        <property name="Telefoon" code="[Aannemer_Sanitair.Telefoon]" value=""/>
        <property name="Email" code="[Aannemer_Sanitair.Email]" value="" func="@"/>
        <property name="GSM" code="[Aannemer_Sanitair.GSM]" value=""/>
        <property name="Fax" code="[Aannemer_Sanitair.Fax]" value=""/>
        <property name="Ondernemingsnummer" code="[Aannemer_Sanitair.Ondernemingsnummer]" value=""/>
        <property name="MaatschappelijkeZetel" code="[Aannemer_Sanitair.MaatschappelijkeZetel]" value=""/>
        <property name="Klasse" code="[Aannemer_Sanitair.Klasse]" value=""/>
        <property name="Disciplines" code="[Aannemer_Sanitair.Disciplines]" value=""/>
      </property>
      <property name="Aannemer_Vloeren" code="[Aannemer_Vloeren]" value="" link="Aannemers">
        <property name="ID" code="[Aannemer_Vloeren.ID]" value=""/>
        <property name="Bedrijfsnaam" code="[Aannemer_Vloeren.Bedrijfsnaam]" value=""/>
        <property name="Bedrijfsvorm" code="[Aannemer_Vloeren.Bedrijfsvorm]" value=""/>
        <property name="Aanspreking" code="[Aannemer_Vloeren.Aanspreking]" value=""/>
        <property name="Naam" code="[Aannemer_Vloeren.Naam]" value=""/>
        <property name="Voornaam" code="[Aannemer_Vloeren.Voornaam]" value=""/>
        <property name="Adres" code="[Aannemer_Vloeren.Adres]" value=""/>
        <property name="Postcode" code="[Aannemer_Vloeren.Postcode]" value=""/>
        <property name="Gemeente" code="[Aannemer_Vloeren.Gemeente]" value=""/>
        <property name="Telefoon" code="[Aannemer_Vloeren.Telefoon]" value=""/>
        <property name="Email" code="[Aannemer_Vloeren.Email]" value="" func="@"/>
        <property name="GSM" code="[Aannemer_Vloeren.GSM]" value=""/>
        <property name="Fax" code="[Aannemer_Vloeren.Fax]" value=""/>
        <property name="Ondernemingsnummer" code="[Aannemer_Vloeren.Ondernemingsnummer]" value=""/>
        <property name="MaatschappelijkeZetel" code="[Aannemer_Vloeren.MaatschappelijkeZetel]" value=""/>
        <property name="Klasse" code="[Aannemer_Vloeren.Klasse]" value=""/>
        <property name="Disciplines" code="[Aannemer_Vloeren.Disciplines]" value=""/>
      </property>
      <property name="Aannemer_Verwarming" code="[Aannemer_Verwarming]" value="" link="Aannemers">
        <property name="ID" code="[Aannemer_Verwarming.ID]" value=""/>
        <property name="Bedrijfsnaam" code="[Aannemer_Verwarming.Bedrijfsnaam]" value=""/>
        <property name="Bedrijfsvorm" code="[Aannemer_Verwarming.Bedrijfsvorm]" value=""/>
        <property name="Aanspreking" code="[Aannemer_Verwarming.Aanspreking]" value=""/>
        <property name="Naam" code="[Aannemer_Verwarming.Naam]" value=""/>
        <property name="Voornaam" code="[Aannemer_Verwarming.Voornaam]" value=""/>
        <property name="Adres" code="[Aannemer_Verwarming.Adres]" value=""/>
        <property name="Postcode" code="[Aannemer_Verwarming.Postcode]" value=""/>
        <property name="Gemeente" code="[Aannemer_Verwarming.Gemeente]" value=""/>
        <property name="Telefoon" code="[Aannemer_Verwarming.Telefoon]" value=""/>
        <property name="Email" code="[Aannemer_Verwarming.Email]" value="" func="@"/>
        <property name="GSM" code="[Aannemer_Verwarming.GSM]" value=""/>
        <property name="Fax" code="[Aannemer_Verwarming.Fax]" value=""/>
        <property name="Ondernemingsnummer" code="[Aannemer_Verwarming.Ondernemingsnummer]" value=""/>
        <property name="MaatschappelijkeZetel" code="[Aannemer_Verwarming.MaatschappelijkeZetel]" value=""/>
        <property name="Klasse" code="[Aannemer_Verwarming.Klasse]" value=""/>
        <property name="Disciplines" code="[Aannemer_Verwarming.Disciplines]" value=""/>
      </property>
      <property name="Aannemer_Schilderwerken" code="[Aannemer_Schilderwerken]" value="" link="Aannemers">
        <property name="ID" code="[Aannemer_Schilderwerken.ID]" value=""/>
        <property name="Bedrijfsnaam" code="[Aannemer_Schilderwerken.Bedrijfsnaam]" value=""/>
        <property name="Bedrijfsvorm" code="[Aannemer_Schilderwerken.Bedrijfsvorm]" value=""/>
        <property name="Aanspreking" code="[Aannemer_Schilderwerken.Aanspreking]" value=""/>
        <property name="Naam" code="[Aannemer_Schilderwerken.Naam]" value=""/>
        <property name="Voornaam" code="[Aannemer_Schilderwerken.Voornaam]" value=""/>
        <property name="Adres" code="[Aannemer_Schilderwerken.Adres]" value=""/>
        <property name="Postcode" code="[Aannemer_Schilderwerken.Postcode]" value=""/>
        <property name="Gemeente" code="[Aannemer_Schilderwerken.Gemeente]" value=""/>
        <property name="Telefoon" code="[Aannemer_Schilderwerken.Telefoon]" value=""/>
        <property name="Email" code="[Aannemer_Schilderwerken.Email]" value="" func="@"/>
        <property name="GSM" code="[Aannemer_Schilderwerken.GSM]" value=""/>
        <property name="Fax" code="[Aannemer_Schilderwerken.Fax]" value=""/>
        <property name="Ondernemingsnummer" code="[Aannemer_Schilderwerken.Ondernemingsnummer]" value=""/>
        <property name="MaatschappelijkeZetel" code="[Aannemer_Schilderwerken.MaatschappelijkeZetel]" value=""/>
        <property name="Klasse" code="[Aannemer_Schilderwerken.Klasse]" value=""/>
        <property name="Disciplines" code="[Aannemer_Schilderwerken.Disciplines]" value=""/>
      </property>
      <property name="Aannemer_Tuinaanleg" code="[Aannemer_Tuinaanleg]" value="" link="Aannemers">
        <property name="ID" code="[Aannemer_Tuinaanleg.ID]" value=""/>
        <property name="Bedrijfsnaam" code="[Aannemer_Tuinaanleg.Bedrijfsnaam]" value=""/>
        <property name="Bedrijfsvorm" code="[Aannemer_Tuinaanleg.Bedrijfsvorm]" value=""/>
        <property name="Aanspreking" code="[Aannemer_Tuinaanleg.Aanspreking]" value=""/>
        <property name="Naam" code="[Aannemer_Tuinaanleg.Naam]" value=""/>
        <property name="Voornaam" code="[Aannemer_Tuinaanleg.Voornaam]" value=""/>
        <property name="Adres" code="[Aannemer_Tuinaanleg.Adres]" value=""/>
        <property name="Postcode" code="[Aannemer_Tuinaanleg.Postcode]" value=""/>
        <property name="Gemeente" code="[Aannemer_Tuinaanleg.Gemeente]" value=""/>
        <property name="Telefoon" code="[Aannemer_Tuinaanleg.Telefoon]" value=""/>
        <property name="Email" code="[Aannemer_Tuinaanleg.Email]" value="" func="@"/>
        <property name="GSM" code="[Aannemer_Tuinaanleg.GSM]" value=""/>
        <property name="Fax" code="[Aannemer_Tuinaanleg.Fax]" value=""/>
        <property name="Ondernemingsnummer" code="[Aannemer_Tuinaanleg.Ondernemingsnummer]" value=""/>
        <property name="MaatschappelijkeZetel" code="[Aannemer_Tuinaanleg.MaatschappelijkeZetel]" value=""/>
        <property name="Klasse" code="[Aannemer_Tuinaanleg.Klasse]" value=""/>
        <property name="Disciplines" code="[Aannemer_Tuinaanleg.Disciplines]" value=""/>
      </property>
    </group>
    <group name="Ingenieurs">
      <property name="Ingenieur_Stabiliteit" code="[Ingenieur_Stabiliteit]" value="" link="Ingenieurs">
        <property name="ID" code="[Ingenieur_Stabiliteit.ID]" value=""/>
        <property name="Bedrijfsnaam" code="[Ingenieur_Stabiliteit.Bedrijfsnaam]" value=""/>
        <property name="Bedrijfsvorm" code="[Ingenieur_Stabiliteit.Bedrijfsvorm]" value=""/>
        <property name="Aanspreking" code="[Ingenieur_Stabiliteit.Aanspreking]" value=""/>
        <property name="Naam" code="[Ingenieur_Stabiliteit.Naam]" value=""/>
        <property name="Voornaam" code="[Ingenieur_Stabiliteit.Voornaam]" value=""/>
        <property name="Adres" code="[Ingenieur_Stabiliteit.Adres]" value=""/>
        <property name="Postcode" code="[Ingenieur_Stabiliteit.Postcode]" value=""/>
        <property name="Gemeente" code="[Ingenieur_Stabiliteit.Gemeente]" value=""/>
        <property name="Telefoon" code="[Ingenieur_Stabiliteit.Telefoon]" value=""/>
        <property name="Email" code="[Ingenieur_Stabiliteit.Email]" value="" func="@"/>
        <property name="GSM" code="[Ingenieur_Stabiliteit.GSM]" value=""/>
        <property name="Fax" code="[Ingenieur_Stabiliteit.Fax]" value=""/>
        <property name="Ondernemingsnummer" code="[Ingenieur_Stabiliteit.Ondernemingsnummer]" value=""/>
        <property name="MaatschappelijkeZetel" code="[Ingenieur_Stabiliteit.MaatschappelijkeZetel]" value=""/>
        <property name="Klasse" code="[Ingenieur_Stabiliteit.Klasse]" value=""/>
        <property name="Disciplines" code="[Ingenieur_Stabiliteit.Disciplines]" value=""/>
      </property>
      <property name="Ingenieur_Technieken" code="[Ingenieur_Technieken]" value="" link="Ingenieurs">
        <property name="ID" code="[Ingenieur_Technieken.ID]" value=""/>
        <property name="Bedrijfsnaam" code="[Ingenieur_Technieken.Bedrijfsnaam]" value=""/>
        <property name="Bedrijfsvorm" code="[Ingenieur_Technieken.Bedrijfsvorm]" value=""/>
        <property name="Aanspreking" code="[Ingenieur_Technieken.Aanspreking]" value=""/>
        <property name="Naam" code="[Ingenieur_Technieken.Naam]" value=""/>
        <property name="Voornaam" code="[Ingenieur_Technieken.Voornaam]" value=""/>
        <property name="Adres" code="[Ingenieur_Technieken.Adres]" value=""/>
        <property name="Postcode" code="[Ingenieur_Technieken.Postcode]" value=""/>
        <property name="Gemeente" code="[Ingenieur_Technieken.Gemeente]" value=""/>
        <property name="Telefoon" code="[Ingenieur_Technieken.Telefoon]" value=""/>
        <property name="Email" code="[Ingenieur_Technieken.Email]" value="" func="@"/>
        <property name="GSM" code="[Ingenieur_Technieken.GSM]" value=""/>
        <property name="Fax" code="[Ingenieur_Technieken.Fax]" value=""/>
        <property name="Ondernemingsnummer" code="[Ingenieur_Technieken.Ondernemingsnummer]" value=""/>
        <property name="MaatschappelijkeZetel" code="[Ingenieur_Technieken.MaatschappelijkeZetel]" value=""/>
        <property name="Klasse" code="[Ingenieur_Technieken.Klasse]" value=""/>
        <property name="Disciplines" code="[Ingenieur_Technieken.Disciplines]" value=""/>
      </property>
      <property name="Ingenieur_Akoestiek" code="[Ingenieur_Akoestiek]" value="" link="Ingenieurs">
        <property name="ID" code="[Ingenieur_Akoestiek.ID]" value=""/>
        <property name="Bedrijfsnaam" code="[Ingenieur_Akoestiek.Bedrijfsnaam]" value=""/>
        <property name="Bedrijfsvorm" code="[Ingenieur_Akoestiek.Bedrijfsvorm]" value=""/>
        <property name="Aanspreking" code="[Ingenieur_Akoestiek.Aanspreking]" value=""/>
        <property name="Naam" code="[Ingenieur_Akoestiek.Naam]" value=""/>
        <property name="Voornaam" code="[Ingenieur_Akoestiek.Voornaam]" value=""/>
        <property name="Adres" code="[Ingenieur_Akoestiek.Adres]" value=""/>
        <property name="Postcode" code="[Ingenieur_Akoestiek.Postcode]" value=""/>
        <property name="Gemeente" code="[Ingenieur_Akoestiek.Gemeente]" value=""/>
        <property name="Telefoon" code="[Ingenieur_Akoestiek.Telefoon]" value=""/>
        <property name="Email" code="[Ingenieur_Akoestiek.Email]" value="" func="@"/>
        <property name="GSM" code="[Ingenieur_Akoestiek.GSM]" value=""/>
        <property name="Fax" code="[Ingenieur_Akoestiek.Fax]" value=""/>
        <property name="Ondernemingsnummer" code="[Ingenieur_Akoestiek.Ondernemingsnummer]" value=""/>
        <property name="MaatschappelijkeZetel" code="[Ingenieur_Akoestiek.MaatschappelijkeZetel]" value=""/>
        <property name="Klasse" code="[Ingenieur_Akoestiek.Klasse]" value=""/>
        <property name="Disciplines" code="[Ingenieur_Akoestiek.Disciplines]" value=""/>
      </property>
    </group>
    <property name="Veiligheidscoördinatie" code="[Veiligheidscoördinatie]" value="" link="Veiligheidscoördinatie">
      <property name="ID" code="[Veiligheidscoördinatie.ID]" value=""/>
      <property name="Bedrijfsnaam" code="[Veiligheidscoördinatie.Bedrijfsnaam]" value=""/>
      <property name="Bedrijfsvorm" code="[Veiligheidscoördinatie.Bedrijfsvorm]" value=""/>
      <property name="Aanspreking" code="[Veiligheidscoördinatie.Aanspreking]" value=""/>
      <property name="Naam" code="[Veiligheidscoördinatie.Naam]" value=""/>
      <property name="Voornaam" code="[Veiligheidscoördinatie.Voornaam]" value=""/>
      <property name="Adres" code="[Veiligheidscoördinatie.Adres]" value=""/>
      <property name="Postcode" code="[Veiligheidscoördinatie.Postcode]" value=""/>
      <property name="Gemeente" code="[Veiligheidscoördinatie.Gemeente]" value=""/>
      <property name="Telefoon" code="[Veiligheidscoördinatie.Telefoon]" value=""/>
      <property name="Email" code="[Veiligheidscoördinatie.Email]" value="" func="@"/>
      <property name="GSM" code="[Veiligheidscoördinatie.GSM]" value=""/>
      <property name="Fax" code="[Veiligheidscoördinatie.Fax]" value=""/>
      <property name="Ondernemingsnummer" code="[Veiligheidscoördinatie.Ondernemingsnummer]" value=""/>
      <property name="MaatschappelijkeZetel" code="[Veiligheidscoördinatie.MaatschappelijkeZetel]" value=""/>
    </property>
    <property name="EPB" code="[EPB]" value="" link="EPB">
      <property name="ID" code="[EPB.ID]" value=""/>
      <property name="Bedrijfsnaam" code="[EPB.Bedrijfsnaam]" value=""/>
      <property name="Bedrijfsvorm" code="[EPB.Bedrijfsvorm]" value=""/>
      <property name="Aanspreking" code="[EPB.Aanspreking]" value=""/>
      <property name="Naam" code="[EPB.Naam]" value=""/>
      <property name="Voornaam" code="[EPB.Voornaam]" value=""/>
      <property name="Adres" code="[EPB.Adres]" value=""/>
      <property name="Postcode" code="[EPB.Postcode]" value=""/>
      <property name="Gemeente" code="[EPB.Gemeente]" value=""/>
      <property name="Telefoon" code="[EPB.Telefoon]" value=""/>
      <property name="Email" code="[EPB.Email]" value="" func="@"/>
      <property name="GSM" code="[EPB.GSM]" value=""/>
      <property name="Fax" code="[EPB.Fax]" value=""/>
      <property name="Ondernemingsnummer" code="[EPB.Ondernemingsnummer]" value=""/>
      <property name="MaatschappelijkeZetel" code="[EPB.MaatschappelijkeZetel]" value=""/>
    </property>
  </properties>
</datamerge>
</file>

<file path=customXml/itemProps1.xml><?xml version="1.0" encoding="utf-8"?>
<ds:datastoreItem xmlns:ds="http://schemas.openxmlformats.org/officeDocument/2006/customXml" ds:itemID="{73B1C498-A918-4AA7-9704-7D0E60D068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184</vt:i4>
      </vt:variant>
    </vt:vector>
  </HeadingPairs>
  <TitlesOfParts>
    <vt:vector size="186" baseType="lpstr">
      <vt:lpstr>Detail Onderbouw &amp; Ruwbouw</vt:lpstr>
      <vt:lpstr>Samenvatting Ruwbouw</vt:lpstr>
      <vt:lpstr>'Samenvatting Ruwbouw'!Afdrukbereik</vt:lpstr>
      <vt:lpstr>'Samenvatting Ruwbouw'!Afdruktitels</vt:lpstr>
      <vt:lpstr>Art_00.</vt:lpstr>
      <vt:lpstr>Art_00.10.</vt:lpstr>
      <vt:lpstr>Art_00.20.</vt:lpstr>
      <vt:lpstr>Art_00.21.</vt:lpstr>
      <vt:lpstr>Art_00.23.</vt:lpstr>
      <vt:lpstr>Art_00.24.</vt:lpstr>
      <vt:lpstr>Art_00.25.</vt:lpstr>
      <vt:lpstr>Art_00.30.</vt:lpstr>
      <vt:lpstr>Art_00.31.</vt:lpstr>
      <vt:lpstr>Art_00.32.</vt:lpstr>
      <vt:lpstr>Art_00.33.</vt:lpstr>
      <vt:lpstr>Art_00.34.</vt:lpstr>
      <vt:lpstr>Art_00.35.</vt:lpstr>
      <vt:lpstr>Art_01.</vt:lpstr>
      <vt:lpstr>Art_01.00.</vt:lpstr>
      <vt:lpstr>Art_01.01.</vt:lpstr>
      <vt:lpstr>Art_01.02.</vt:lpstr>
      <vt:lpstr>Art_01.03.</vt:lpstr>
      <vt:lpstr>Art_01.04.</vt:lpstr>
      <vt:lpstr>Art_01.05.</vt:lpstr>
      <vt:lpstr>Art_01.06.</vt:lpstr>
      <vt:lpstr>Art_01.07.</vt:lpstr>
      <vt:lpstr>Art_01.08.</vt:lpstr>
      <vt:lpstr>Art_01.20.</vt:lpstr>
      <vt:lpstr>Art_01.21.</vt:lpstr>
      <vt:lpstr>Art_01.22.</vt:lpstr>
      <vt:lpstr>Art_01.23.</vt:lpstr>
      <vt:lpstr>Art_01.25.</vt:lpstr>
      <vt:lpstr>Art_01.30.</vt:lpstr>
      <vt:lpstr>Art_01.31.</vt:lpstr>
      <vt:lpstr>Art_01.32.</vt:lpstr>
      <vt:lpstr>Art_01.33.</vt:lpstr>
      <vt:lpstr>Art_01.40.</vt:lpstr>
      <vt:lpstr>Art_02.</vt:lpstr>
      <vt:lpstr>Art_02.00.</vt:lpstr>
      <vt:lpstr>Art_02.10.</vt:lpstr>
      <vt:lpstr>Art_02.11.</vt:lpstr>
      <vt:lpstr>Art_02.40.</vt:lpstr>
      <vt:lpstr>Art_02.50.</vt:lpstr>
      <vt:lpstr>Art_02.52.</vt:lpstr>
      <vt:lpstr>Art_02.80.</vt:lpstr>
      <vt:lpstr>Art_02.81.</vt:lpstr>
      <vt:lpstr>Art_02.81.10.</vt:lpstr>
      <vt:lpstr>Art_02.82.</vt:lpstr>
      <vt:lpstr>Art_03.</vt:lpstr>
      <vt:lpstr>Art_03.00.</vt:lpstr>
      <vt:lpstr>Art_03.01.</vt:lpstr>
      <vt:lpstr>Art_03.02.</vt:lpstr>
      <vt:lpstr>Art_03.03.</vt:lpstr>
      <vt:lpstr>Art_03.10.</vt:lpstr>
      <vt:lpstr>Art_03.11.</vt:lpstr>
      <vt:lpstr>Art_03.11.20.</vt:lpstr>
      <vt:lpstr>Art_03.11.40.</vt:lpstr>
      <vt:lpstr>Art_03.20.</vt:lpstr>
      <vt:lpstr>Art_03.21.</vt:lpstr>
      <vt:lpstr>Art_03.21.10.</vt:lpstr>
      <vt:lpstr>Art_03.21.30.</vt:lpstr>
      <vt:lpstr>Art_03.22.</vt:lpstr>
      <vt:lpstr>Art_03.22.20.</vt:lpstr>
      <vt:lpstr>Art_03.22.22.</vt:lpstr>
      <vt:lpstr>Art_03.22.30.</vt:lpstr>
      <vt:lpstr>Art_03.40.</vt:lpstr>
      <vt:lpstr>Art_03.41.</vt:lpstr>
      <vt:lpstr>Art_03.50.</vt:lpstr>
      <vt:lpstr>Art_03.51.</vt:lpstr>
      <vt:lpstr>Art_03.53.</vt:lpstr>
      <vt:lpstr>Art_03.53.10.</vt:lpstr>
      <vt:lpstr>Art_03.60.</vt:lpstr>
      <vt:lpstr>Art_03.61.</vt:lpstr>
      <vt:lpstr>Art_03.61.20.</vt:lpstr>
      <vt:lpstr>Art_03.70.</vt:lpstr>
      <vt:lpstr>Art_03.71.</vt:lpstr>
      <vt:lpstr>Art_04.</vt:lpstr>
      <vt:lpstr>Art_04.00.</vt:lpstr>
      <vt:lpstr>Art_04.10.</vt:lpstr>
      <vt:lpstr>Art_04.20.</vt:lpstr>
      <vt:lpstr>Art_04.30.</vt:lpstr>
      <vt:lpstr>Art_04.40.</vt:lpstr>
      <vt:lpstr>Art_05.</vt:lpstr>
      <vt:lpstr>Art_05.00.</vt:lpstr>
      <vt:lpstr>Art_05.10.</vt:lpstr>
      <vt:lpstr>Art_05.12.</vt:lpstr>
      <vt:lpstr>Art_10.</vt:lpstr>
      <vt:lpstr>Art_10.00.</vt:lpstr>
      <vt:lpstr>Art_10.20.</vt:lpstr>
      <vt:lpstr>Art_10.21.</vt:lpstr>
      <vt:lpstr>Art_10.23.</vt:lpstr>
      <vt:lpstr>Art_10.24.</vt:lpstr>
      <vt:lpstr>Art_10.24.10.</vt:lpstr>
      <vt:lpstr>Art_10.24.20.</vt:lpstr>
      <vt:lpstr>Art_15.</vt:lpstr>
      <vt:lpstr>Art_15.00.</vt:lpstr>
      <vt:lpstr>Art_15.20.</vt:lpstr>
      <vt:lpstr>Art_15.21.</vt:lpstr>
      <vt:lpstr>Art_15.30.</vt:lpstr>
      <vt:lpstr>Art_15.31.</vt:lpstr>
      <vt:lpstr>Art_15.31.10.</vt:lpstr>
      <vt:lpstr>Art_16.</vt:lpstr>
      <vt:lpstr>Art_16.00.</vt:lpstr>
      <vt:lpstr>Art_16.30.</vt:lpstr>
      <vt:lpstr>Art_16.31.</vt:lpstr>
      <vt:lpstr>Art_17.</vt:lpstr>
      <vt:lpstr>Art_17.00.</vt:lpstr>
      <vt:lpstr>Art_17.10.</vt:lpstr>
      <vt:lpstr>Art_17.12.</vt:lpstr>
      <vt:lpstr>Art_17.12.30.</vt:lpstr>
      <vt:lpstr>Art_17.12.31.</vt:lpstr>
      <vt:lpstr>Art_17.12.32.</vt:lpstr>
      <vt:lpstr>Art_17.12.34.</vt:lpstr>
      <vt:lpstr>Art_17.34.</vt:lpstr>
      <vt:lpstr>Art_17.34.10.</vt:lpstr>
      <vt:lpstr>Art_17.34.12.</vt:lpstr>
      <vt:lpstr>Art_17.60.</vt:lpstr>
      <vt:lpstr>Art_17.61.</vt:lpstr>
      <vt:lpstr>Art_17.70.</vt:lpstr>
      <vt:lpstr>Art_17.71.</vt:lpstr>
      <vt:lpstr>Art_17.71.10.</vt:lpstr>
      <vt:lpstr>Art_17.72.</vt:lpstr>
      <vt:lpstr>Art_17.73.</vt:lpstr>
      <vt:lpstr>Art_17.74.</vt:lpstr>
      <vt:lpstr>Art_17.84.</vt:lpstr>
      <vt:lpstr>Art_20.</vt:lpstr>
      <vt:lpstr>Art_20.00.</vt:lpstr>
      <vt:lpstr>Art_20.01.</vt:lpstr>
      <vt:lpstr>Art_20.10.</vt:lpstr>
      <vt:lpstr>Art_20.11.</vt:lpstr>
      <vt:lpstr>Art_20.11.10.</vt:lpstr>
      <vt:lpstr>Art_20.12.</vt:lpstr>
      <vt:lpstr>Art_20.12.10.</vt:lpstr>
      <vt:lpstr>Art_20.12.12.</vt:lpstr>
      <vt:lpstr>Art_20.12.20.</vt:lpstr>
      <vt:lpstr>Art_20.12.21.</vt:lpstr>
      <vt:lpstr>Art_20.12.22.</vt:lpstr>
      <vt:lpstr>Art_20.50.</vt:lpstr>
      <vt:lpstr>Art_20.51.</vt:lpstr>
      <vt:lpstr>Art_20.51.20.</vt:lpstr>
      <vt:lpstr>Art_22.</vt:lpstr>
      <vt:lpstr>Art_22.00.</vt:lpstr>
      <vt:lpstr>Art_22.01.</vt:lpstr>
      <vt:lpstr>Art_22.10.</vt:lpstr>
      <vt:lpstr>Art_22.11.</vt:lpstr>
      <vt:lpstr>Art_22.11.10.</vt:lpstr>
      <vt:lpstr>Art_22.11.11.</vt:lpstr>
      <vt:lpstr>Art_22.11.20.</vt:lpstr>
      <vt:lpstr>Art_22.14.</vt:lpstr>
      <vt:lpstr>Art_22.20.</vt:lpstr>
      <vt:lpstr>Art_22.21.</vt:lpstr>
      <vt:lpstr>Art_22.21.10.</vt:lpstr>
      <vt:lpstr>Art_22.30.</vt:lpstr>
      <vt:lpstr>Art_22.31.</vt:lpstr>
      <vt:lpstr>Art_23</vt:lpstr>
      <vt:lpstr>Art_23.00.</vt:lpstr>
      <vt:lpstr>Art_23.01.</vt:lpstr>
      <vt:lpstr>Art_23.11.</vt:lpstr>
      <vt:lpstr>Art_26.</vt:lpstr>
      <vt:lpstr>Art_26.00.</vt:lpstr>
      <vt:lpstr>Art_26.01.</vt:lpstr>
      <vt:lpstr>Art_26.10.</vt:lpstr>
      <vt:lpstr>Art_26.11.</vt:lpstr>
      <vt:lpstr>Art_26.11.10.</vt:lpstr>
      <vt:lpstr>Art_26.11.11.</vt:lpstr>
      <vt:lpstr>Art_26.11.12.</vt:lpstr>
      <vt:lpstr>Art_26.11.20.</vt:lpstr>
      <vt:lpstr>Art_26.11.21.</vt:lpstr>
      <vt:lpstr>Art_26.12.</vt:lpstr>
      <vt:lpstr>Art_26.12.10.</vt:lpstr>
      <vt:lpstr>Art_26.12.11.</vt:lpstr>
      <vt:lpstr>Art_26.12.12.</vt:lpstr>
      <vt:lpstr>Art_26.20.</vt:lpstr>
      <vt:lpstr>Art_26.23.</vt:lpstr>
      <vt:lpstr>Art_26.30.</vt:lpstr>
      <vt:lpstr>Art_26.34.</vt:lpstr>
      <vt:lpstr>Art_26.36.</vt:lpstr>
      <vt:lpstr>Art_26.36.40.</vt:lpstr>
      <vt:lpstr>Art_26.36.44.</vt:lpstr>
      <vt:lpstr>Art_27.</vt:lpstr>
      <vt:lpstr>Art_27.00.</vt:lpstr>
      <vt:lpstr>Art_27.02.</vt:lpstr>
      <vt:lpstr>Art_27.10.</vt:lpstr>
      <vt:lpstr>Art_27.11.</vt:lpstr>
      <vt:lpstr>'Samenvatting Ruwbouw'!first_cell</vt:lpstr>
      <vt:lpstr>'Samenvatting Ruwbouw'!TotalLine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C3Admin Tools</dc:title>
  <dc:subject>Bill of Quantities Detail Template</dc:subject>
  <dc:creator>Desmet Donald</dc:creator>
  <cp:lastModifiedBy>Nicole Drieghe</cp:lastModifiedBy>
  <cp:revision>1</cp:revision>
  <cp:lastPrinted>2023-04-12T20:17:22Z</cp:lastPrinted>
  <dcterms:created xsi:type="dcterms:W3CDTF">1995-09-27T18:13:23Z</dcterms:created>
  <dcterms:modified xsi:type="dcterms:W3CDTF">2023-04-14T06:14:41Z</dcterms:modified>
</cp:coreProperties>
</file>